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75" windowWidth="13920" windowHeight="9210" activeTab="0"/>
  </bookViews>
  <sheets>
    <sheet name="Меню" sheetId="1" r:id="rId1"/>
    <sheet name="накопительная" sheetId="2" r:id="rId2"/>
    <sheet name="Пищевка" sheetId="3" r:id="rId3"/>
    <sheet name="Выхода" sheetId="4" r:id="rId4"/>
    <sheet name="Объемы" sheetId="5" r:id="rId5"/>
    <sheet name="проверка" sheetId="6" r:id="rId6"/>
  </sheets>
  <definedNames>
    <definedName name="_xlnm._FilterDatabase" localSheetId="0" hidden="1">'Меню'!$A$3:$A$1687</definedName>
  </definedNames>
  <calcPr fullCalcOnLoad="1"/>
</workbook>
</file>

<file path=xl/sharedStrings.xml><?xml version="1.0" encoding="utf-8"?>
<sst xmlns="http://schemas.openxmlformats.org/spreadsheetml/2006/main" count="2799" uniqueCount="622">
  <si>
    <t>1 день</t>
  </si>
  <si>
    <t>Наименование блюда</t>
  </si>
  <si>
    <t>Брутто, г</t>
  </si>
  <si>
    <t>Нетто, г</t>
  </si>
  <si>
    <t>Химический состав</t>
  </si>
  <si>
    <t>Выход, г</t>
  </si>
  <si>
    <t>Белки, г</t>
  </si>
  <si>
    <t>Жиры, г</t>
  </si>
  <si>
    <t>Угл. г</t>
  </si>
  <si>
    <t>ЭЦ, ккал</t>
  </si>
  <si>
    <t>Завтрак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</si>
  <si>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</si>
  <si>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</si>
  <si>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</si>
  <si>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</si>
  <si>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</si>
  <si>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</si>
  <si>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</si>
  <si>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</si>
  <si>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</si>
  <si>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Сахар</t>
  </si>
  <si>
    <t>Фрукты свежие</t>
  </si>
  <si>
    <t>Картофель</t>
  </si>
  <si>
    <t>Масло растительное</t>
  </si>
  <si>
    <t>Овощи, зелень</t>
  </si>
  <si>
    <t>Фрукты сухие</t>
  </si>
  <si>
    <t>Кондитерские изделия</t>
  </si>
  <si>
    <t>Чай</t>
  </si>
  <si>
    <t>Рыба (сельдь)</t>
  </si>
  <si>
    <t>Молоко, кисломолочные продукты</t>
  </si>
  <si>
    <t>Творог</t>
  </si>
  <si>
    <t>Сметана</t>
  </si>
  <si>
    <t>Масло сливочное</t>
  </si>
  <si>
    <t>Яйцо куриное</t>
  </si>
  <si>
    <t>Хлеб ржаной</t>
  </si>
  <si>
    <t xml:space="preserve">Хлеб пшеничный </t>
  </si>
  <si>
    <t>Продукты</t>
  </si>
  <si>
    <t>% выполнения</t>
  </si>
  <si>
    <t>Дни</t>
  </si>
  <si>
    <t>сахар</t>
  </si>
  <si>
    <t xml:space="preserve">масло сливочное </t>
  </si>
  <si>
    <t>лимон</t>
  </si>
  <si>
    <t>хлеб пшеничный</t>
  </si>
  <si>
    <t>с 01.01 - 25%</t>
  </si>
  <si>
    <t>масло растительное</t>
  </si>
  <si>
    <t>говядина 1 категории</t>
  </si>
  <si>
    <t>или говядина полуфабрикат</t>
  </si>
  <si>
    <t>картофель - 01.09.-31.10.- 25%</t>
  </si>
  <si>
    <t>01.11.-31.12. -30%</t>
  </si>
  <si>
    <t>01.01-29.02 - 35%</t>
  </si>
  <si>
    <t>01.03 - 40%</t>
  </si>
  <si>
    <t>лук репчатый</t>
  </si>
  <si>
    <t>сметана</t>
  </si>
  <si>
    <t xml:space="preserve">крупа гречневая </t>
  </si>
  <si>
    <t>мука пшеничная</t>
  </si>
  <si>
    <t>капуста свежая белокочанная</t>
  </si>
  <si>
    <t>творог</t>
  </si>
  <si>
    <t>крупа рисовая</t>
  </si>
  <si>
    <t>сыр</t>
  </si>
  <si>
    <t>Макаронные изделия</t>
  </si>
  <si>
    <t>вода питьевая</t>
  </si>
  <si>
    <t>Соки фруктовые (овощные)</t>
  </si>
  <si>
    <t>Птица</t>
  </si>
  <si>
    <t>молоко питьевое</t>
  </si>
  <si>
    <t>масло сливочное для смазки листа</t>
  </si>
  <si>
    <t>Мука пшеничная</t>
  </si>
  <si>
    <t>Крупы, бобовые</t>
  </si>
  <si>
    <t>Мясо</t>
  </si>
  <si>
    <t>Сыр, сыр плавленный,брынза</t>
  </si>
  <si>
    <t>какао - порошок</t>
  </si>
  <si>
    <t>масло сливочное</t>
  </si>
  <si>
    <t>** Количество потребленных продуктов округлено до целого числа</t>
  </si>
  <si>
    <t>или Хлеб пшеничный витаминизированный</t>
  </si>
  <si>
    <t xml:space="preserve">Завтрак, ккал </t>
  </si>
  <si>
    <t>Хлеб пшеничный</t>
  </si>
  <si>
    <t>помидоры свежие парниковые</t>
  </si>
  <si>
    <t>или огурцы свежие парниковые</t>
  </si>
  <si>
    <t xml:space="preserve">Факт в день г, мл, </t>
  </si>
  <si>
    <t>Дрожжи хлебопекарные</t>
  </si>
  <si>
    <t>какао</t>
  </si>
  <si>
    <t xml:space="preserve">Макаронные изделия </t>
  </si>
  <si>
    <t>яблоки свежие (с удаленным семенным гнездом)</t>
  </si>
  <si>
    <t>ванилин</t>
  </si>
  <si>
    <t>томатное пюре (без искусственных ароматизаторов, красителей и консервантов, без содержания крахмала и соли)</t>
  </si>
  <si>
    <t>Какао</t>
  </si>
  <si>
    <t>Кисломолочные продукты (массовая доля жира 2,5%, 3,2%)</t>
  </si>
  <si>
    <t xml:space="preserve">Сыр </t>
  </si>
  <si>
    <t>%</t>
  </si>
  <si>
    <t xml:space="preserve">Мука пшеничная </t>
  </si>
  <si>
    <t>или помидоры свежие грунтовые</t>
  </si>
  <si>
    <t>огурцы свежие грунтовые</t>
  </si>
  <si>
    <t xml:space="preserve">яйцо куриное </t>
  </si>
  <si>
    <t>масса тушеного мяса</t>
  </si>
  <si>
    <t>200/5</t>
  </si>
  <si>
    <t xml:space="preserve">сахар </t>
  </si>
  <si>
    <t>ИЛИ</t>
  </si>
  <si>
    <t>30/10</t>
  </si>
  <si>
    <t>сухари</t>
  </si>
  <si>
    <t>Название блюд</t>
  </si>
  <si>
    <t>Гарнир</t>
  </si>
  <si>
    <t>150-200</t>
  </si>
  <si>
    <t>60-100</t>
  </si>
  <si>
    <t>200-250</t>
  </si>
  <si>
    <t>100-150</t>
  </si>
  <si>
    <t>250-300</t>
  </si>
  <si>
    <t>100-120</t>
  </si>
  <si>
    <t>180-230</t>
  </si>
  <si>
    <t>Масса порций в граммах для двух возрастных групп</t>
  </si>
  <si>
    <t>молоко сгущенное с сахаром</t>
  </si>
  <si>
    <t>Фрукты</t>
  </si>
  <si>
    <t xml:space="preserve">1 день </t>
  </si>
  <si>
    <t>масса соуса</t>
  </si>
  <si>
    <t>морковь до 01.01.-20%</t>
  </si>
  <si>
    <t>чай-заварка</t>
  </si>
  <si>
    <t>или огурцы свежие грунтовые</t>
  </si>
  <si>
    <t>масса отварной моркови</t>
  </si>
  <si>
    <t>200/20</t>
  </si>
  <si>
    <t>масло растительное для смазки листа</t>
  </si>
  <si>
    <t xml:space="preserve">масло растительное  </t>
  </si>
  <si>
    <t xml:space="preserve"> минтай потрошенный обезглавленный (филе с кожей без костей)</t>
  </si>
  <si>
    <t>Йогурт молочный полужирный в индивидуальной упаковке</t>
  </si>
  <si>
    <t>100/5</t>
  </si>
  <si>
    <t xml:space="preserve">11 день </t>
  </si>
  <si>
    <t>1 1день</t>
  </si>
  <si>
    <t>12 день</t>
  </si>
  <si>
    <t>13 день</t>
  </si>
  <si>
    <t>14 день</t>
  </si>
  <si>
    <t>15 день</t>
  </si>
  <si>
    <t>16 день</t>
  </si>
  <si>
    <t>17 день</t>
  </si>
  <si>
    <t>18 день</t>
  </si>
  <si>
    <t>11 день</t>
  </si>
  <si>
    <t xml:space="preserve">  крупа манная</t>
  </si>
  <si>
    <t>крошка</t>
  </si>
  <si>
    <t xml:space="preserve">чай-заварка  </t>
  </si>
  <si>
    <t>или свинина мясная</t>
  </si>
  <si>
    <t>масса тушеной птицы</t>
  </si>
  <si>
    <t>зелень сушеная (хмели-сунели)</t>
  </si>
  <si>
    <t>100</t>
  </si>
  <si>
    <t>помидоры свежие грунтовые</t>
  </si>
  <si>
    <t>или помидоры свежие парниковые</t>
  </si>
  <si>
    <t>Дрожжи хлебопекарные***</t>
  </si>
  <si>
    <t>масса готовой запеканки</t>
  </si>
  <si>
    <t>или смородина свежемороженая</t>
  </si>
  <si>
    <t>лимонная кислота</t>
  </si>
  <si>
    <t>или Хлеб ржаной витаминизированный</t>
  </si>
  <si>
    <t>масса отварного картофеля</t>
  </si>
  <si>
    <t>свекла до 01.01.-20%</t>
  </si>
  <si>
    <t>масса отварной свеклы</t>
  </si>
  <si>
    <t>огурцы соленые без уксуса</t>
  </si>
  <si>
    <t>Возрастная категория: с 12 лет и старше</t>
  </si>
  <si>
    <t>Меню содержит обязательные вложения - титульный лист, аннотацию, накопительную ведомость, 
таблицу распределения энергетической ценности  (калорийности) на отдельные приемы пищи,
 таблицу суммарных объемов блюд по приемам пищи (в граммах  - не менее)</t>
  </si>
  <si>
    <t>Обед, ккал</t>
  </si>
  <si>
    <t>Итого, ккал</t>
  </si>
  <si>
    <t>20-25 % от суточного рациона</t>
  </si>
  <si>
    <t xml:space="preserve"> 30-35% от суточного рациона</t>
  </si>
  <si>
    <t>50 - 60% от суточного рациона</t>
  </si>
  <si>
    <t>*Приложение 10, Таблица 3 СанПиН 2.3/2.4.3590-20 "Санитарно- эпидемиологические требования к организации общественного питания населения"</t>
  </si>
  <si>
    <t>**Приложение 10, Таблица 1 СанПиН 2.3/2.4.3590-20 "Санитарно- эпидемиологические требования к организации общественного питания населения"</t>
  </si>
  <si>
    <t>Распределение энергетической ценности (калорийности) на отдельные приемы пищи для детей школьного возраста с 12 лет и старше *</t>
  </si>
  <si>
    <t xml:space="preserve">Суточная потребность 
СанПиН 2.3/2.4.3590-20 
(2720 ккал)** </t>
  </si>
  <si>
    <t>544-680</t>
  </si>
  <si>
    <t>816-952</t>
  </si>
  <si>
    <t>1360/1632</t>
  </si>
  <si>
    <t>Масса порций для детей в зависимости от возраста (в граммах)</t>
  </si>
  <si>
    <t>Закуска (холодное блюдо) (салат, овощи и т.п.)</t>
  </si>
  <si>
    <t>Первое блюдо</t>
  </si>
  <si>
    <t>Второе блюдо (мясное, рыбное, блюдо из мяса птицы)</t>
  </si>
  <si>
    <t>90-120</t>
  </si>
  <si>
    <t>Третье блюдо (компот, кисель, чай, напиток кофейный, какао-напиток, сок,  напиток из шиповника, сок)</t>
  </si>
  <si>
    <t>180-200</t>
  </si>
  <si>
    <t xml:space="preserve"> В соответствии с СанПиН 2.3/2.4.3590-20 "Санитарно- эпидемиологические требования к организации общественного питания населения", Приложение 9, Таблица 1  "Масса порций для детей в зависимости от возраста (в граммах)"</t>
  </si>
  <si>
    <t xml:space="preserve"> 7 до 11 лет</t>
  </si>
  <si>
    <t xml:space="preserve"> 12 лет и старше </t>
  </si>
  <si>
    <t>Приложение №9, таблица 3 
к СанПиН 2.3/2.4.3590-20</t>
  </si>
  <si>
    <t>Завтрак, грамм</t>
  </si>
  <si>
    <t>Обед, грамм</t>
  </si>
  <si>
    <t>Суммарные объемы блюд по приемам пищи для детей с 12 лет и старше (не менее)</t>
  </si>
  <si>
    <t>550</t>
  </si>
  <si>
    <t>800</t>
  </si>
  <si>
    <t xml:space="preserve">Хлеб ржаной </t>
  </si>
  <si>
    <t>Сухофрукты</t>
  </si>
  <si>
    <t>Соки плодоовощные, напитки витаминизированные, в т.ч. инстантные***</t>
  </si>
  <si>
    <t>Кофейный напиток</t>
  </si>
  <si>
    <t>Мясо 1-й категории</t>
  </si>
  <si>
    <t>Субпродукты (печень, язык, сердце)</t>
  </si>
  <si>
    <t>Птица (цыплята-бройлеры потрошенные - 1 кат.)</t>
  </si>
  <si>
    <t xml:space="preserve">Рыба (филе), в т.ч. филе слабо или малосоленое </t>
  </si>
  <si>
    <t>Молоко</t>
  </si>
  <si>
    <t>Кисломолочная пищевая продукция</t>
  </si>
  <si>
    <t>Творог (5%-9% м.д.ж.)</t>
  </si>
  <si>
    <t xml:space="preserve">Сметана </t>
  </si>
  <si>
    <t>Яйцо, шт.</t>
  </si>
  <si>
    <t>Крахмал</t>
  </si>
  <si>
    <t>Специи</t>
  </si>
  <si>
    <t>Соль пищевая поваренная йодированная</t>
  </si>
  <si>
    <t xml:space="preserve"> Норма питания в г*, мл, нетто на 1 ребенка в сутки</t>
  </si>
  <si>
    <t>* Нормы питания в соответствии с СанПиН 2.3/2.4.3590-20 "Санитарно- эпидемиологические требования к организации общественного питания населения", Приложение 7, Таблица 2 "Среднесуточные наборы пищевой  продукции для организации питания детей от 7 до 18 лет (в нетто г., мл. на 1 ребенка в сутки)"</t>
  </si>
  <si>
    <r>
      <t xml:space="preserve">Овощи (свежие, мороженные, консервированные), </t>
    </r>
    <r>
      <rPr>
        <sz val="6"/>
        <rFont val="Arial"/>
        <family val="2"/>
      </rPr>
      <t>включая соленые и квашеные (не более 10% от общего количества овощей), в т.ч. томат-пюре, зелень</t>
    </r>
  </si>
  <si>
    <t>кофейный напиток</t>
  </si>
  <si>
    <t>Субпродукты</t>
  </si>
  <si>
    <t>№ рецептуры</t>
  </si>
  <si>
    <t>ИТОГО:</t>
  </si>
  <si>
    <t>ИТОГО ПОТРЕБЛЕНИЕ ПИЩЕВЫХ ВЕЩЕСТВ ЗА НЕДЕЛЮ:</t>
  </si>
  <si>
    <t>НОРМА ПИЩЕВЫХ ВЕЩЕСТВ И ЭНЕРГИИ ЗА НЕДЕЛЮ (100%)*:</t>
  </si>
  <si>
    <t>Обед</t>
  </si>
  <si>
    <t>250/10/5</t>
  </si>
  <si>
    <t xml:space="preserve"> вишня свежемороженая</t>
  </si>
  <si>
    <t xml:space="preserve">или клюква свежемороженая </t>
  </si>
  <si>
    <t>для соуса</t>
  </si>
  <si>
    <t>курага</t>
  </si>
  <si>
    <t>или груши свежие</t>
  </si>
  <si>
    <t xml:space="preserve">или апельсины свежие </t>
  </si>
  <si>
    <t>горох лущёный</t>
  </si>
  <si>
    <t>отвар картофельный</t>
  </si>
  <si>
    <t>250/10</t>
  </si>
  <si>
    <t>сухофрукты</t>
  </si>
  <si>
    <t>фасоль</t>
  </si>
  <si>
    <t>мука пшеничная (на подпыл)</t>
  </si>
  <si>
    <t>соль йодированная</t>
  </si>
  <si>
    <t>или лапша промышленного производства</t>
  </si>
  <si>
    <t>№106-2013, Пермь</t>
  </si>
  <si>
    <t xml:space="preserve"> №451-2004</t>
  </si>
  <si>
    <t>№516-2004</t>
  </si>
  <si>
    <t xml:space="preserve"> №458-2006, Москва</t>
  </si>
  <si>
    <t>№437-2004</t>
  </si>
  <si>
    <t xml:space="preserve">Рис припущенный </t>
  </si>
  <si>
    <t>№512-2004</t>
  </si>
  <si>
    <t xml:space="preserve">Бутерброд с сыром </t>
  </si>
  <si>
    <t>№3-2004</t>
  </si>
  <si>
    <t xml:space="preserve">Пюре картофельное </t>
  </si>
  <si>
    <t xml:space="preserve"> №520-2004</t>
  </si>
  <si>
    <t>№70-2006, Москва</t>
  </si>
  <si>
    <t>№110-2004</t>
  </si>
  <si>
    <t xml:space="preserve"> №224-2004 </t>
  </si>
  <si>
    <t xml:space="preserve">Компот из кураги  </t>
  </si>
  <si>
    <t>№638-2004</t>
  </si>
  <si>
    <t xml:space="preserve">Какао с молоком </t>
  </si>
  <si>
    <t>№642-1996</t>
  </si>
  <si>
    <t xml:space="preserve">Фрукты в ассортименте </t>
  </si>
  <si>
    <t>№458-2006, Москва</t>
  </si>
  <si>
    <t>№510-2004</t>
  </si>
  <si>
    <t>№10/5-2011, Екатеринбург</t>
  </si>
  <si>
    <t xml:space="preserve">Запеканка " Царская" из творога с молоком сгущенным </t>
  </si>
  <si>
    <t xml:space="preserve">Бутерброд с маслом </t>
  </si>
  <si>
    <t>№1-2004</t>
  </si>
  <si>
    <t>№34-2004, Пермь</t>
  </si>
  <si>
    <t xml:space="preserve">Компот из свежих плодов  </t>
  </si>
  <si>
    <t>№585-1996</t>
  </si>
  <si>
    <t>№139-2004</t>
  </si>
  <si>
    <t xml:space="preserve">Картофель толченый, по-деревенски </t>
  </si>
  <si>
    <t xml:space="preserve"> №208-2013, Пермь</t>
  </si>
  <si>
    <t xml:space="preserve">Салат из свежих помидоров </t>
  </si>
  <si>
    <t>№22-2013, Пермь</t>
  </si>
  <si>
    <t xml:space="preserve">Бутерброд с джемом  </t>
  </si>
  <si>
    <t>№2-2004</t>
  </si>
  <si>
    <t xml:space="preserve">Компот из сухофруктов </t>
  </si>
  <si>
    <t xml:space="preserve">  №639-2004</t>
  </si>
  <si>
    <t xml:space="preserve">Фрикасе из птицы </t>
  </si>
  <si>
    <t>№493-2004</t>
  </si>
  <si>
    <t>№111-2004</t>
  </si>
  <si>
    <t>Какао с молоком</t>
  </si>
  <si>
    <t xml:space="preserve"> №642-1996</t>
  </si>
  <si>
    <t xml:space="preserve">Пюре картофельное  </t>
  </si>
  <si>
    <t>№520-2004</t>
  </si>
  <si>
    <t xml:space="preserve">Компот  из  ягод  </t>
  </si>
  <si>
    <t>№511-2013, Пермь</t>
  </si>
  <si>
    <t xml:space="preserve">Чай с сахаром </t>
  </si>
  <si>
    <t>№685-2004</t>
  </si>
  <si>
    <t>Чай с сахаром</t>
  </si>
  <si>
    <t xml:space="preserve"> №685-2004</t>
  </si>
  <si>
    <r>
      <t xml:space="preserve">Каша, или овощное, или яичное, или  творожное, или мясное блюдо </t>
    </r>
    <r>
      <rPr>
        <sz val="12"/>
        <rFont val="Arial"/>
        <family val="2"/>
      </rPr>
      <t>(допускается комбинация разных блюд завтрака, при этом выход каждого блюда может быть уменьшен при условии соблюдения общей массы блюд завтрака)</t>
    </r>
  </si>
  <si>
    <r>
      <t xml:space="preserve">Сахар </t>
    </r>
    <r>
      <rPr>
        <sz val="6"/>
        <rFont val="Arial"/>
        <family val="2"/>
      </rPr>
      <t>(в т.ч. для приготовления блюд и напитков, в случае использования пищевой продукции промышленного выпуска, содержащих сахар, выдача сахара должна быть уменьшена в зависимости от его содержания в используемой готовой пищевой продукции)</t>
    </r>
  </si>
  <si>
    <t>Меню приготавливаемых блюд 
завтрак, обед</t>
  </si>
  <si>
    <t>НОРМА ПИЩЕВЫХ ВЕЩЕСТВ И ЭНЕРГИИ ЗА НЕДЕЛЮ (50%):</t>
  </si>
  <si>
    <t>НОРМА ПИЩЕВЫХ ВЕЩЕСТВ И ЭНЕРГИИ ЗА НЕДЕЛЮ (60%):</t>
  </si>
  <si>
    <t>При двухразоаом питании (завтрак, обед)</t>
  </si>
  <si>
    <t>№311-2004</t>
  </si>
  <si>
    <t xml:space="preserve">Сок  в ассортименте </t>
  </si>
  <si>
    <t>№518-2013, Пермь</t>
  </si>
  <si>
    <t>Капуста тушённая</t>
  </si>
  <si>
    <t xml:space="preserve"> №.534-2004 </t>
  </si>
  <si>
    <t xml:space="preserve">Печень, тушеная в соусе </t>
  </si>
  <si>
    <t>№401-2013, Пермь</t>
  </si>
  <si>
    <t>печень говяжья</t>
  </si>
  <si>
    <t>масса тушеной печени</t>
  </si>
  <si>
    <t xml:space="preserve">Суфле "Чизкейк" (творожное с печеньем) с молоком сгущенным </t>
  </si>
  <si>
    <t>№19/5-2011, Екатеринбург</t>
  </si>
  <si>
    <t>печенье сахарное</t>
  </si>
  <si>
    <t>масса готового суфле</t>
  </si>
  <si>
    <t xml:space="preserve">Печень  говяжья по - строгановски  </t>
  </si>
  <si>
    <t>№431-2004</t>
  </si>
  <si>
    <t>масса готовой печени</t>
  </si>
  <si>
    <t>№498-2004</t>
  </si>
  <si>
    <t>мука пшеничная на подпыл</t>
  </si>
  <si>
    <t>дрожжи прессованные</t>
  </si>
  <si>
    <t>№300-2013, Пермь</t>
  </si>
  <si>
    <t xml:space="preserve">Кисель из свежих ягод  </t>
  </si>
  <si>
    <t>№505-2013, Пермь</t>
  </si>
  <si>
    <t xml:space="preserve"> крахмал </t>
  </si>
  <si>
    <t xml:space="preserve">Кофейный напиток  </t>
  </si>
  <si>
    <t>№690-2004</t>
  </si>
  <si>
    <t xml:space="preserve">молоко питьевое </t>
  </si>
  <si>
    <t>20/20</t>
  </si>
  <si>
    <t>ИТОГО ПОТРЕБЛЕНИЕ ПИЩЕВЫХ ВЕЩЕСТВ ЗА НЕДЕЛЮ (завтрак, обед):</t>
  </si>
  <si>
    <t>НОРМА ПИЩЕВЫХ ВЕЩЕСТВ И ЭНЕРГИИ ЗА НЕДЕЛЮ (завтрак, обед)(50-60%):</t>
  </si>
  <si>
    <t>45-54</t>
  </si>
  <si>
    <t>46-55</t>
  </si>
  <si>
    <t>192-230</t>
  </si>
  <si>
    <t>1360-1632</t>
  </si>
  <si>
    <t>При двухразовом питании (завтрак, обед)</t>
  </si>
  <si>
    <t xml:space="preserve">Рагу из овощей </t>
  </si>
  <si>
    <t xml:space="preserve">Макаронные  изделия отварные </t>
  </si>
  <si>
    <t xml:space="preserve">Макаронные изделия отварные </t>
  </si>
  <si>
    <t>Фрукты в ассортименте</t>
  </si>
  <si>
    <t xml:space="preserve"> Норма в день, г мл, нетто,, прием пищи -  завтрак, обед</t>
  </si>
  <si>
    <t xml:space="preserve">Гуляш </t>
  </si>
  <si>
    <t>№365-2004</t>
  </si>
  <si>
    <t>Суфле творожное с молоком сгущенным</t>
  </si>
  <si>
    <t>№132-2013, Пермь</t>
  </si>
  <si>
    <t>Чай со смородиной и сахаром</t>
  </si>
  <si>
    <t>масса готового омлета</t>
  </si>
  <si>
    <t>масло сливочное на полив</t>
  </si>
  <si>
    <t>№284-1996</t>
  </si>
  <si>
    <t>горошек зеленый консервированный (после термической обработки)</t>
  </si>
  <si>
    <t>или горбуша или кета неразделанная  (филе без кожи и костей)</t>
  </si>
  <si>
    <t>молоко питьевое или вода питьевая</t>
  </si>
  <si>
    <t>мука пшеничная или сухари</t>
  </si>
  <si>
    <t>свинина мясная</t>
  </si>
  <si>
    <t>Котлеты из мяса (свинина мясная и говядина)</t>
  </si>
  <si>
    <t>Сложный гарнир ( капуста тушеная, картофельное пюре)</t>
  </si>
  <si>
    <t>80/100</t>
  </si>
  <si>
    <t>или филе куриное или индейки</t>
  </si>
  <si>
    <t>крупа булгур</t>
  </si>
  <si>
    <t>Булгур припущенный</t>
  </si>
  <si>
    <t>250/20/10</t>
  </si>
  <si>
    <t xml:space="preserve">Суп гороховый с гренками, с мясом  </t>
  </si>
  <si>
    <t>250/15/5</t>
  </si>
  <si>
    <t>масса припущенного с маслом лука</t>
  </si>
  <si>
    <t>№112-2004</t>
  </si>
  <si>
    <t xml:space="preserve">  вода питьевая</t>
  </si>
  <si>
    <t>№54-22г-2020, Новосибирск</t>
  </si>
  <si>
    <t>урюк</t>
  </si>
  <si>
    <t xml:space="preserve">Компот из урюка </t>
  </si>
  <si>
    <t>№267-2013, Пермь</t>
  </si>
  <si>
    <t>крупа пшенная</t>
  </si>
  <si>
    <t>№129-1996</t>
  </si>
  <si>
    <t>крупа перловая</t>
  </si>
  <si>
    <t>200/7</t>
  </si>
  <si>
    <t xml:space="preserve">Борщ "Сибирский" с мясными фрикадельками со сметаной </t>
  </si>
  <si>
    <t>№ 15/1-2011г., Екатеринбург</t>
  </si>
  <si>
    <t xml:space="preserve">  огурцы свежие парниковые</t>
  </si>
  <si>
    <t>№621-2013, Пермь</t>
  </si>
  <si>
    <t>фарш</t>
  </si>
  <si>
    <t>яйцо куриное для смазки изделия</t>
  </si>
  <si>
    <t>№458-2004</t>
  </si>
  <si>
    <t xml:space="preserve">Рагу овощное </t>
  </si>
  <si>
    <t xml:space="preserve">№541-2004 </t>
  </si>
  <si>
    <t xml:space="preserve">соус томатный </t>
  </si>
  <si>
    <t>№587-2004</t>
  </si>
  <si>
    <t>масса отварной птицы (мякоть)</t>
  </si>
  <si>
    <t xml:space="preserve">Плов из птицы  </t>
  </si>
  <si>
    <t>№406-2013, Пермь</t>
  </si>
  <si>
    <t>№443-2004</t>
  </si>
  <si>
    <t xml:space="preserve">Булочка российская </t>
  </si>
  <si>
    <t>№775-2004</t>
  </si>
  <si>
    <t>сахар для отделки</t>
  </si>
  <si>
    <t>Каша "Дружба" с маслом</t>
  </si>
  <si>
    <t xml:space="preserve">горошек зеленый консервированный (после термической обработки) </t>
  </si>
  <si>
    <t>Винегрет овощной</t>
  </si>
  <si>
    <t>крупа пшеничная</t>
  </si>
  <si>
    <t xml:space="preserve">Чай с лимоном </t>
  </si>
  <si>
    <t xml:space="preserve">№686-2004 </t>
  </si>
  <si>
    <t xml:space="preserve">сметана </t>
  </si>
  <si>
    <t>№601-2004</t>
  </si>
  <si>
    <t xml:space="preserve">Рассольник Ленинградский  с мясом и сметаной  </t>
  </si>
  <si>
    <t>яблоки свежие (с удаленным семенным гнездом, очищенные от кожицы)</t>
  </si>
  <si>
    <t>или горбуша или кета потрошенная с головой (филе с кожей без костей)</t>
  </si>
  <si>
    <t xml:space="preserve"> №513-2013, Пермь</t>
  </si>
  <si>
    <t>Каша гречневая вязкая</t>
  </si>
  <si>
    <t xml:space="preserve">Кондитерское изделие промышленного производства в ассортименте </t>
  </si>
  <si>
    <t xml:space="preserve">лапша домашняя </t>
  </si>
  <si>
    <t>№403-2013, Пермь</t>
  </si>
  <si>
    <t>Сердце в соусе</t>
  </si>
  <si>
    <t>масса готового сердца</t>
  </si>
  <si>
    <t>120/50</t>
  </si>
  <si>
    <t>за 18 дней, г</t>
  </si>
  <si>
    <t>*Приложение 10, Таблица 1  "Потребность в пищевых веществах, энергии, витаминах и минеральных веществ (суточная)" СанПиН 2.3/2.4.3590-20 "Санитарно- эпидемиологические требования к организации общественного питания населения"</t>
  </si>
  <si>
    <t>в том числе какао - порошок в составе напитка</t>
  </si>
  <si>
    <t>минтай потрошенный обезглавленный (филе с кожей без костей)</t>
  </si>
  <si>
    <t>Фактически получено г, мл, **</t>
  </si>
  <si>
    <t>сердце говяжье</t>
  </si>
  <si>
    <t>макаронные изделия группы А</t>
  </si>
  <si>
    <t>батон или хлеб пшеничный</t>
  </si>
  <si>
    <t>или горбуша (кета) потрошенная без головы (филе без кожи и костей)</t>
  </si>
  <si>
    <t>или горбуша (кета) потрошенная без головы (филе с кожей без костей)</t>
  </si>
  <si>
    <t>филе куриное или индейки</t>
  </si>
  <si>
    <t xml:space="preserve">  филе куриное или индейки</t>
  </si>
  <si>
    <t>1 неделя</t>
  </si>
  <si>
    <t>2 неделя</t>
  </si>
  <si>
    <t>3 неделя</t>
  </si>
  <si>
    <t>ИТОГО в среднем за 1 неделю</t>
  </si>
  <si>
    <t>ИТОГО в среднем за 2 неделю</t>
  </si>
  <si>
    <t>ИТОГО в среднем за 3 неделю</t>
  </si>
  <si>
    <t xml:space="preserve">№16/4-2011, Екатеринбург </t>
  </si>
  <si>
    <t>крупа   гречневая</t>
  </si>
  <si>
    <t>крупа пшено</t>
  </si>
  <si>
    <t>крупа ячневая</t>
  </si>
  <si>
    <t xml:space="preserve"> №10-2004</t>
  </si>
  <si>
    <t>Бутерброд горячий с сыром</t>
  </si>
  <si>
    <t>35</t>
  </si>
  <si>
    <t xml:space="preserve"> №390-2013, Пермь </t>
  </si>
  <si>
    <t>масса готового рассыпчатого риса</t>
  </si>
  <si>
    <t>масса прогретого с маслом лука</t>
  </si>
  <si>
    <t xml:space="preserve">соус сметанный </t>
  </si>
  <si>
    <t>№442-2013, Пермь</t>
  </si>
  <si>
    <t>масса готовых ёжиков</t>
  </si>
  <si>
    <t xml:space="preserve">Напиток  из шиповника  </t>
  </si>
  <si>
    <t>№705-2004</t>
  </si>
  <si>
    <t>шиповник</t>
  </si>
  <si>
    <t>Пюре картофельное с подгарнировкой</t>
  </si>
  <si>
    <t>№316-2006, Москва</t>
  </si>
  <si>
    <t xml:space="preserve">Соус сметанный с томатом </t>
  </si>
  <si>
    <t xml:space="preserve">масса готового изделия </t>
  </si>
  <si>
    <t>100/30</t>
  </si>
  <si>
    <t xml:space="preserve">Овощи   свежие на подгарнировку (огурцы) </t>
  </si>
  <si>
    <t xml:space="preserve">Рыба, тушеная в томате с овощами </t>
  </si>
  <si>
    <t>№374-2004</t>
  </si>
  <si>
    <t>кукуруза консервированная (после термической обработки)</t>
  </si>
  <si>
    <t>или треска потрошенная обезглавленная (филе с кожей без костей)</t>
  </si>
  <si>
    <t>джем абрикосовый, малиновый, вишневый, персиковый, апельсиновый (без искусственных ароматизаторов, консервантов и красителей)</t>
  </si>
  <si>
    <t>Овощи натуральные на подгарнировку (помидоры)</t>
  </si>
  <si>
    <t>Запеканка из творога с молоком сгущенным</t>
  </si>
  <si>
    <t>№313-2013, Пермь</t>
  </si>
  <si>
    <t xml:space="preserve">или крупа манная </t>
  </si>
  <si>
    <t>молоко питьевое для каши</t>
  </si>
  <si>
    <t>№457-2004</t>
  </si>
  <si>
    <t>котлетная масса</t>
  </si>
  <si>
    <t>яйцо куриное отварное для фарша</t>
  </si>
  <si>
    <t>Плов из мяса</t>
  </si>
  <si>
    <t>120/5</t>
  </si>
  <si>
    <t xml:space="preserve"> №467-2004</t>
  </si>
  <si>
    <t xml:space="preserve">Биточки по-белорусски  </t>
  </si>
  <si>
    <t xml:space="preserve">огурцы консервированные без уксуса </t>
  </si>
  <si>
    <t xml:space="preserve">№260-2013, Пермь </t>
  </si>
  <si>
    <t>1-6 день</t>
  </si>
  <si>
    <t>7-12 день</t>
  </si>
  <si>
    <t>13-18 день</t>
  </si>
  <si>
    <t xml:space="preserve">Каша ячневая с маслом </t>
  </si>
  <si>
    <t>Каша пшенная молочная с маслом</t>
  </si>
  <si>
    <t xml:space="preserve">Каша пшеничная с маслом </t>
  </si>
  <si>
    <t>или  дрожжи сухие</t>
  </si>
  <si>
    <t>соус томатный</t>
  </si>
  <si>
    <t xml:space="preserve">№453-2013, Пермь </t>
  </si>
  <si>
    <t>Зразы рубленые из мяса, запеченные</t>
  </si>
  <si>
    <t>№54-6гн-2020, 2021, Новосибирск</t>
  </si>
  <si>
    <t xml:space="preserve"> №534-2004 </t>
  </si>
  <si>
    <t xml:space="preserve"> или филе куриное или индейки</t>
  </si>
  <si>
    <t>или горбуша (кета) неразделанная (филе с кожей без костей)</t>
  </si>
  <si>
    <t>или грудка куриная (разделка на мякоть без кожи)</t>
  </si>
  <si>
    <t>курица потрошеная 1 категории (разделка на мякоть без кожи)</t>
  </si>
  <si>
    <t xml:space="preserve">Рулет с луком и яйцом  </t>
  </si>
  <si>
    <t>№16/2-2011, Екатеринбург</t>
  </si>
  <si>
    <t xml:space="preserve">Суп с картофелем и крупой, с мясом </t>
  </si>
  <si>
    <t xml:space="preserve">Рассольник домашний с птицей, со сметаной </t>
  </si>
  <si>
    <t xml:space="preserve">Борщ с капустой и картофелем с мясом, со сметаной </t>
  </si>
  <si>
    <t xml:space="preserve">  грудка куриная (разделка на мякоть без кожи)</t>
  </si>
  <si>
    <t>"Ежики" из мяса с рисом, с соусом (свинина мясная и говядина)</t>
  </si>
  <si>
    <t>фрикадельки мясные (из говядины и свинины)</t>
  </si>
  <si>
    <t>Салат из свежих помидоров с кукурузой консервированной</t>
  </si>
  <si>
    <t>№23-2013, Пермь</t>
  </si>
  <si>
    <t>масло сливочное или масло сливочное шоколадное</t>
  </si>
  <si>
    <t>смородина черная или смородина красная</t>
  </si>
  <si>
    <t>вишня или смородина или облепиха или клубника свежемороженые</t>
  </si>
  <si>
    <t>Каша молочная Попурри (крупа рисовая, гречневая, пшено)  с маслом</t>
  </si>
  <si>
    <t>Котлета особая (из свинины мясной и филе индейки)</t>
  </si>
  <si>
    <t>№452-2004</t>
  </si>
  <si>
    <t>филе индейки</t>
  </si>
  <si>
    <t>сухари пшеничные</t>
  </si>
  <si>
    <t>горбуша (кета) потрошенная с головой (филе без кожи и костей)</t>
  </si>
  <si>
    <t>или горбуша (кета) неразделанная (филе без кожи и костей)</t>
  </si>
  <si>
    <t>или консервы рыбная натуральная  в собственном соку</t>
  </si>
  <si>
    <t>250/50</t>
  </si>
  <si>
    <t>Каша рисовая жидкая с маслом</t>
  </si>
  <si>
    <t>хлопья овсяные "Геркулес"</t>
  </si>
  <si>
    <t>Каша из овсяных хлопьев "Геркулес" жидкая   с маслом</t>
  </si>
  <si>
    <t xml:space="preserve">горбуша потрошенная с головой (филе без кожи и костей) </t>
  </si>
  <si>
    <t xml:space="preserve">или горбуша неразделанная (филе без кожи и костей) </t>
  </si>
  <si>
    <t>морковь до 01.01 - 20%</t>
  </si>
  <si>
    <t>яйцо куриное</t>
  </si>
  <si>
    <t xml:space="preserve">Биточки рубленные из птицы запеченные, с маслом </t>
  </si>
  <si>
    <t>№35-2006, Москва</t>
  </si>
  <si>
    <t>огурцы свежие парниковые</t>
  </si>
  <si>
    <t>Рагу из овощей с кабачками</t>
  </si>
  <si>
    <t>кабачки</t>
  </si>
  <si>
    <t>Бутерброд горячий с сыром и помидорами</t>
  </si>
  <si>
    <t>хлеб пшеничный или батон</t>
  </si>
  <si>
    <t xml:space="preserve">Бутерброд с маслом с сыром </t>
  </si>
  <si>
    <t xml:space="preserve"> №1,3-2004</t>
  </si>
  <si>
    <t>Омлет натуральный с маслом</t>
  </si>
  <si>
    <t>№71-2004</t>
  </si>
  <si>
    <t>85</t>
  </si>
  <si>
    <t>№149-1996</t>
  </si>
  <si>
    <t>курица потрошеная 1 категории   (разделка на мякоть без кожи)</t>
  </si>
  <si>
    <t>или грудка куриная   (разделка на мякоть без кожи)</t>
  </si>
  <si>
    <t xml:space="preserve"> или  филе куриное или индейки</t>
  </si>
  <si>
    <t xml:space="preserve">ИЛИ Суп лапша с помидорами по-казачьи, с мясом </t>
  </si>
  <si>
    <t>№703-1996</t>
  </si>
  <si>
    <t>бульон куриный</t>
  </si>
  <si>
    <t>250/20</t>
  </si>
  <si>
    <t>бульон мясной</t>
  </si>
  <si>
    <t>№364-2013, Пермь</t>
  </si>
  <si>
    <t>масса соуса и овощей</t>
  </si>
  <si>
    <t>Азу</t>
  </si>
  <si>
    <t>или говядина 1 категории</t>
  </si>
  <si>
    <t>Салат из белокочанной капусты с помидорами и огурцами</t>
  </si>
  <si>
    <t>№54-6з-2020, Новосибирск</t>
  </si>
  <si>
    <t xml:space="preserve">капуста белокочанная свежая </t>
  </si>
  <si>
    <t>масса капусты, стертой с солью</t>
  </si>
  <si>
    <t xml:space="preserve">(в свежем виде морковь и капусту старого урожая использовать до 1 марта, после 1 марта свежего урожая или другой  салат из вареных овощей) </t>
  </si>
  <si>
    <t xml:space="preserve">Свекольник с птицей, со сметаной </t>
  </si>
  <si>
    <t>Суп лапша с помидорами по-казачьи,  с птицей</t>
  </si>
  <si>
    <t>зеленый горошек (после термической обработки)</t>
  </si>
  <si>
    <t>№9/7-2011, Екатеринбург</t>
  </si>
  <si>
    <t xml:space="preserve"> горбуша (кета) потрошенная с головой (филе без кожи и костей)</t>
  </si>
  <si>
    <t>чеснок свежий</t>
  </si>
  <si>
    <t>Салат из свеклы с зеленым горошком "Бурячок"</t>
  </si>
  <si>
    <t>№498-2013, Пермь</t>
  </si>
  <si>
    <t>Какао с молоком сгущенным</t>
  </si>
  <si>
    <t>Каша манная вязкая с маслом</t>
  </si>
  <si>
    <t>№250-2013, Пермь</t>
  </si>
  <si>
    <t>крупа манная</t>
  </si>
  <si>
    <t>Компот из ягод и яблок</t>
  </si>
  <si>
    <t>Котлета рыбная "Лада" (из горбуши и минтая)</t>
  </si>
  <si>
    <t xml:space="preserve">№20-2004 </t>
  </si>
  <si>
    <t>Салат из свежих помидоров и огурцов</t>
  </si>
  <si>
    <t>Шницель из мяса (свинина мясная и говядина)</t>
  </si>
  <si>
    <t>№54-24г-2020, 2021 Новосибирск</t>
  </si>
  <si>
    <t>горошек зеленый</t>
  </si>
  <si>
    <t xml:space="preserve">Салат из свежих огурцов с  зеленым горошком </t>
  </si>
  <si>
    <t>№18-2013, Пермь</t>
  </si>
  <si>
    <t>№142-2013, Пермь</t>
  </si>
  <si>
    <t xml:space="preserve">Рассольник "Домашний" с мясом со сметаной </t>
  </si>
  <si>
    <t>№131-2004</t>
  </si>
  <si>
    <t>или фасоль консервированная в собственном соку</t>
  </si>
  <si>
    <t>№144-2004</t>
  </si>
  <si>
    <t>Котлеты по-домашнему (свинина мясная и говядина)</t>
  </si>
  <si>
    <t xml:space="preserve"> №416-1996</t>
  </si>
  <si>
    <t>или кабачки</t>
  </si>
  <si>
    <t>Салат витаминный</t>
  </si>
  <si>
    <t>№2-2013, Пермь</t>
  </si>
  <si>
    <t xml:space="preserve">капуста белокочанная </t>
  </si>
  <si>
    <t>яблоки свежие (с удаленной сердцевиной, очищенные от кожицы)</t>
  </si>
  <si>
    <t>вода для разведения лимонной кислоты</t>
  </si>
  <si>
    <t>№353-1996</t>
  </si>
  <si>
    <t>кальмары мороженные обезглавленные (филе с кожицей)</t>
  </si>
  <si>
    <t>или кальмары мороженные (тушка) с кожицей</t>
  </si>
  <si>
    <t xml:space="preserve">масса отварных кальмаров </t>
  </si>
  <si>
    <t>или горбуша неразделанная (филе без кожи и костей)</t>
  </si>
  <si>
    <t>или горбуша потрошенная с головой (филе без кожи и костей)</t>
  </si>
  <si>
    <t>Котлета из мяса (свинина мясная и говядина)</t>
  </si>
  <si>
    <t>45</t>
  </si>
  <si>
    <t>Биточки рубленные из птицы запеченные с маслом</t>
  </si>
  <si>
    <t>или грудка куриная промышленного производства (разделка на мякоть без кожи)</t>
  </si>
  <si>
    <t>Кондитерское изделие промышленного производства в ассортименте</t>
  </si>
  <si>
    <t>65</t>
  </si>
  <si>
    <t>30/30</t>
  </si>
  <si>
    <t>Биточки по-домашнему (свинина мясная и говядина)</t>
  </si>
  <si>
    <t xml:space="preserve">Салат из капусты белокочанной с морковью </t>
  </si>
  <si>
    <t>№4-2013, Пермь</t>
  </si>
  <si>
    <t>лимон (для сока)</t>
  </si>
  <si>
    <t xml:space="preserve">  Основное 18-ти ДНЕВНОЕ МЕНЮ №2360 от 07.07.2022 г.</t>
  </si>
  <si>
    <t xml:space="preserve">Свекольник с мясом, со сметаной </t>
  </si>
  <si>
    <r>
      <t xml:space="preserve">ВЕДОМОСТЬ контроля за рационом питания к меню </t>
    </r>
    <r>
      <rPr>
        <b/>
        <sz val="10"/>
        <rFont val="Arial"/>
        <family val="2"/>
      </rPr>
      <t xml:space="preserve"> №2360 от 07.07.2022 г. </t>
    </r>
    <r>
      <rPr>
        <b/>
        <sz val="10"/>
        <rFont val="Arial"/>
        <family val="2"/>
      </rPr>
      <t xml:space="preserve">для питания детей школьного возраста с 12 лет и старше (завтрак, обед) </t>
    </r>
  </si>
  <si>
    <t xml:space="preserve">Шоколадный напиток </t>
  </si>
  <si>
    <t>быстрорастворимый витаминизированный шоколадный напиток в ассортименте</t>
  </si>
  <si>
    <t>№3/7-2011,Екатеринбург</t>
  </si>
  <si>
    <t xml:space="preserve">Горбуша в морковной корочке с маслом </t>
  </si>
  <si>
    <t xml:space="preserve">Салат с помидорами, огурцами и луком </t>
  </si>
  <si>
    <t>№42-2001, Пермь</t>
  </si>
  <si>
    <t>Суп картофельный с рыбой</t>
  </si>
  <si>
    <t>Биточки из мяса (свинина мясная и говядина)</t>
  </si>
  <si>
    <t>Котлета по-домашнему (свинина мясная и говядина)</t>
  </si>
  <si>
    <t>Каша перловая рассыпчатая  с морковью</t>
  </si>
  <si>
    <t>№242-2013, Пермь</t>
  </si>
  <si>
    <t>масса каши перловой</t>
  </si>
  <si>
    <t>масса моркови и лука припущенной с маслом</t>
  </si>
  <si>
    <t xml:space="preserve">Котлеты по - хлыновски </t>
  </si>
  <si>
    <t>№454-2004</t>
  </si>
  <si>
    <t>горбуша потрошенная с головой (филе  с кожей без костей)</t>
  </si>
  <si>
    <t>или горбуша неразделанная (филе  с кожей без костей)</t>
  </si>
  <si>
    <t>или минтай потрошенный обезглавленный (филе  с кожей без костей)</t>
  </si>
  <si>
    <t>Тефтели из мяса с соусом (свинина мясная и говядина)</t>
  </si>
  <si>
    <t>100/50</t>
  </si>
  <si>
    <t xml:space="preserve">№461-2004 </t>
  </si>
  <si>
    <t>масло сливочное для заправки соуса</t>
  </si>
  <si>
    <t>или горбуша или кета потрошенная с головой (филе без кожи и костей)</t>
  </si>
  <si>
    <t>Вершинки рыбные  в маслом</t>
  </si>
  <si>
    <t xml:space="preserve">Котлета по-Волжски  </t>
  </si>
  <si>
    <t>№45-2006, Екатеринбург</t>
  </si>
  <si>
    <t xml:space="preserve">Курица  запеченная  </t>
  </si>
  <si>
    <t xml:space="preserve"> №494-2004</t>
  </si>
  <si>
    <t xml:space="preserve">курица потрошеная 1 категории </t>
  </si>
  <si>
    <t>или грудка куриная</t>
  </si>
  <si>
    <t>или бедро куриное</t>
  </si>
  <si>
    <t>чеснок</t>
  </si>
  <si>
    <t>Биточки "Пикантные"</t>
  </si>
  <si>
    <t xml:space="preserve">сухари </t>
  </si>
  <si>
    <t xml:space="preserve">Рулет с  яйцом  </t>
  </si>
  <si>
    <t>№421-1996</t>
  </si>
  <si>
    <t>Огурец свежий в нарезке</t>
  </si>
  <si>
    <t>Рулет  из мяса с  яйцом</t>
  </si>
  <si>
    <t>№460-2004</t>
  </si>
  <si>
    <t>масса полуфабриката</t>
  </si>
  <si>
    <t>№58-2013, Пермь</t>
  </si>
  <si>
    <t>№46-2006, Екатеринбург</t>
  </si>
  <si>
    <t>Колобки мясо-картофельные с соусом</t>
  </si>
  <si>
    <t>Суп из овощей с фасолью, с мясом</t>
  </si>
  <si>
    <t>Яйца вареные</t>
  </si>
  <si>
    <t xml:space="preserve">Борщ с капустой и картофелем с птицей, со сметаной </t>
  </si>
  <si>
    <t xml:space="preserve">Овощи свежие на подгарнировку (огурцы) </t>
  </si>
  <si>
    <t>Щи из свежей капусты с картофелем с птицей со сметаной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</si>
</sst>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  <numFmt numFmtId="175" formatCode="0.00000"/>
    <numFmt numFmtId="176" formatCode="_(* #,##0.00_);_(* \(#,##0.00\);_(* &quot;-&quot;??_);_(@_)"/>
    <numFmt numFmtId="177" formatCode="[$-FC19]d\ mmmm\ yyyy\ &quot;г.&quot;"/>
    <numFmt numFmtId="178" formatCode="_-* #,##0.000&quot;р.&quot;_-;\-* #,##0.000&quot;р.&quot;_-;_-* &quot;-&quot;??&quot;р.&quot;_-;_-@_-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_-* #,##0.0&quot;р.&quot;_-;\-* #,##0.0&quot;р.&quot;_-;_-* &quot;-&quot;??&quot;р.&quot;_-;_-@_-"/>
    <numFmt numFmtId="184" formatCode="_(* #,##0.0_);_(* \(#,##0.0\);_(* &quot;-&quot;??_);_(@_)"/>
    <numFmt numFmtId="185" formatCode="0.000000"/>
    <numFmt numFmtId="186" formatCode="_-* #,##0.000_р_._-;\-* #,##0.000_р_._-;_-* &quot;-&quot;??_р_._-;_-@_-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2"/>
      <name val="Arial Cyr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2"/>
    </font>
    <font>
      <sz val="14"/>
      <name val="Arial Black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i/>
      <sz val="10"/>
      <name val="Arial Cyr"/>
      <family val="0"/>
    </font>
    <font>
      <b/>
      <i/>
      <sz val="11"/>
      <name val="Arial"/>
      <family val="2"/>
    </font>
    <font>
      <b/>
      <i/>
      <sz val="11"/>
      <name val="Arial Cyr"/>
      <family val="0"/>
    </font>
    <font>
      <sz val="9"/>
      <name val="Arial Cyr"/>
      <family val="0"/>
    </font>
    <font>
      <sz val="9"/>
      <name val="Arial"/>
      <family val="2"/>
    </font>
    <font>
      <sz val="11"/>
      <name val="Arial"/>
      <family val="2"/>
    </font>
    <font>
      <b/>
      <sz val="8"/>
      <name val="Arial Cyr"/>
      <family val="0"/>
    </font>
    <font>
      <i/>
      <sz val="10"/>
      <name val="Arial"/>
      <family val="2"/>
    </font>
    <font>
      <sz val="11"/>
      <name val="Arial Cyr"/>
      <family val="0"/>
    </font>
    <font>
      <sz val="12"/>
      <name val="Arial"/>
      <family val="2"/>
    </font>
    <font>
      <sz val="6"/>
      <name val="Arial"/>
      <family val="2"/>
    </font>
    <font>
      <b/>
      <i/>
      <sz val="7"/>
      <name val="Arial"/>
      <family val="2"/>
    </font>
    <font>
      <b/>
      <u val="single"/>
      <sz val="10"/>
      <name val="Arial"/>
      <family val="2"/>
    </font>
    <font>
      <b/>
      <sz val="9"/>
      <name val="Arial Cyr"/>
      <family val="0"/>
    </font>
    <font>
      <sz val="16"/>
      <name val="Arial Cyr"/>
      <family val="0"/>
    </font>
    <font>
      <sz val="18"/>
      <name val="Arial Cyr"/>
      <family val="0"/>
    </font>
    <font>
      <b/>
      <sz val="18"/>
      <name val="Arial"/>
      <family val="2"/>
    </font>
    <font>
      <b/>
      <sz val="7"/>
      <name val="Arial Cyr"/>
      <family val="0"/>
    </font>
    <font>
      <b/>
      <i/>
      <sz val="7"/>
      <name val="Arial Cyr"/>
      <family val="0"/>
    </font>
    <font>
      <i/>
      <sz val="12"/>
      <name val="Arial"/>
      <family val="2"/>
    </font>
    <font>
      <i/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12"/>
      <name val="Arial Black"/>
      <family val="2"/>
    </font>
    <font>
      <sz val="11"/>
      <name val="Arial Black"/>
      <family val="2"/>
    </font>
    <font>
      <sz val="7"/>
      <name val="Arial Cyr"/>
      <family val="0"/>
    </font>
    <font>
      <b/>
      <sz val="6"/>
      <name val="Arial"/>
      <family val="2"/>
    </font>
    <font>
      <b/>
      <sz val="12"/>
      <name val="Times New Roman Cyr"/>
      <family val="1"/>
    </font>
    <font>
      <sz val="10"/>
      <name val="Times New Roman Cyr"/>
      <family val="1"/>
    </font>
    <font>
      <sz val="12"/>
      <name val="Times New Roman Cyr"/>
      <family val="1"/>
    </font>
    <font>
      <sz val="8"/>
      <color indexed="10"/>
      <name val="Arial"/>
      <family val="2"/>
    </font>
    <font>
      <sz val="8"/>
      <name val="Tahoma"/>
      <family val="2"/>
    </font>
    <font>
      <sz val="8"/>
      <color rgb="FFFF0000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780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8" fillId="0" borderId="10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vertical="justify"/>
    </xf>
    <xf numFmtId="0" fontId="27" fillId="0" borderId="0" xfId="0" applyFont="1" applyBorder="1" applyAlignment="1">
      <alignment horizontal="center" wrapText="1"/>
    </xf>
    <xf numFmtId="1" fontId="22" fillId="0" borderId="0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vertical="top"/>
    </xf>
    <xf numFmtId="0" fontId="21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vertical="top" wrapText="1"/>
    </xf>
    <xf numFmtId="0" fontId="23" fillId="2" borderId="0" xfId="0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right" vertical="center"/>
    </xf>
    <xf numFmtId="172" fontId="23" fillId="18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Fill="1" applyBorder="1" applyAlignment="1">
      <alignment horizontal="right" vertical="center" wrapText="1"/>
    </xf>
    <xf numFmtId="1" fontId="14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vertical="center"/>
    </xf>
    <xf numFmtId="0" fontId="27" fillId="18" borderId="10" xfId="0" applyFont="1" applyFill="1" applyBorder="1" applyAlignment="1">
      <alignment vertical="center"/>
    </xf>
    <xf numFmtId="0" fontId="27" fillId="18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vertical="center" wrapText="1"/>
    </xf>
    <xf numFmtId="0" fontId="28" fillId="0" borderId="11" xfId="0" applyFont="1" applyFill="1" applyBorder="1" applyAlignment="1">
      <alignment horizontal="center" vertical="center" wrapText="1"/>
    </xf>
    <xf numFmtId="172" fontId="14" fillId="18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2" fontId="14" fillId="0" borderId="10" xfId="0" applyNumberFormat="1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 horizontal="center" vertical="top"/>
    </xf>
    <xf numFmtId="1" fontId="14" fillId="19" borderId="10" xfId="0" applyNumberFormat="1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horizontal="center" vertical="center"/>
    </xf>
    <xf numFmtId="1" fontId="22" fillId="18" borderId="0" xfId="0" applyNumberFormat="1" applyFont="1" applyFill="1" applyBorder="1" applyAlignment="1">
      <alignment vertical="top"/>
    </xf>
    <xf numFmtId="0" fontId="0" fillId="18" borderId="0" xfId="0" applyFont="1" applyFill="1" applyAlignment="1">
      <alignment/>
    </xf>
    <xf numFmtId="0" fontId="27" fillId="18" borderId="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right" vertical="center" wrapText="1"/>
    </xf>
    <xf numFmtId="172" fontId="14" fillId="0" borderId="10" xfId="0" applyNumberFormat="1" applyFont="1" applyFill="1" applyBorder="1" applyAlignment="1">
      <alignment horizontal="center" vertical="center"/>
    </xf>
    <xf numFmtId="2" fontId="14" fillId="18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0" fontId="14" fillId="18" borderId="10" xfId="0" applyFont="1" applyFill="1" applyBorder="1" applyAlignment="1">
      <alignment horizontal="right" vertical="center"/>
    </xf>
    <xf numFmtId="0" fontId="14" fillId="19" borderId="10" xfId="0" applyFont="1" applyFill="1" applyBorder="1" applyAlignment="1">
      <alignment horizontal="right" vertical="center" wrapText="1"/>
    </xf>
    <xf numFmtId="2" fontId="0" fillId="0" borderId="0" xfId="0" applyNumberFormat="1" applyFont="1" applyFill="1" applyAlignment="1">
      <alignment vertical="center"/>
    </xf>
    <xf numFmtId="172" fontId="0" fillId="0" borderId="10" xfId="0" applyNumberFormat="1" applyFont="1" applyBorder="1" applyAlignment="1">
      <alignment horizontal="center" vertical="center"/>
    </xf>
    <xf numFmtId="1" fontId="0" fillId="18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right" vertical="center" wrapText="1"/>
    </xf>
    <xf numFmtId="0" fontId="33" fillId="18" borderId="10" xfId="0" applyFont="1" applyFill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/>
    </xf>
    <xf numFmtId="172" fontId="28" fillId="0" borderId="10" xfId="0" applyNumberFormat="1" applyFont="1" applyFill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horizontal="center" vertical="center"/>
    </xf>
    <xf numFmtId="2" fontId="0" fillId="18" borderId="10" xfId="0" applyNumberFormat="1" applyFont="1" applyFill="1" applyBorder="1" applyAlignment="1">
      <alignment horizontal="center" vertical="center"/>
    </xf>
    <xf numFmtId="0" fontId="23" fillId="18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" fontId="28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Alignment="1">
      <alignment vertical="center"/>
    </xf>
    <xf numFmtId="172" fontId="36" fillId="0" borderId="10" xfId="0" applyNumberFormat="1" applyFont="1" applyFill="1" applyBorder="1" applyAlignment="1">
      <alignment horizontal="center" vertical="center"/>
    </xf>
    <xf numFmtId="0" fontId="27" fillId="19" borderId="10" xfId="0" applyFont="1" applyFill="1" applyBorder="1" applyAlignment="1">
      <alignment horizontal="left" vertical="center" wrapText="1"/>
    </xf>
    <xf numFmtId="0" fontId="0" fillId="19" borderId="10" xfId="0" applyFont="1" applyFill="1" applyBorder="1" applyAlignment="1">
      <alignment horizontal="right" vertical="center" wrapText="1"/>
    </xf>
    <xf numFmtId="1" fontId="0" fillId="18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2" fontId="0" fillId="18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" fontId="14" fillId="18" borderId="0" xfId="0" applyNumberFormat="1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1" fontId="0" fillId="19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18" borderId="0" xfId="0" applyFont="1" applyFill="1" applyBorder="1" applyAlignment="1">
      <alignment/>
    </xf>
    <xf numFmtId="1" fontId="0" fillId="18" borderId="0" xfId="0" applyNumberFormat="1" applyFont="1" applyFill="1" applyBorder="1" applyAlignment="1">
      <alignment/>
    </xf>
    <xf numFmtId="0" fontId="0" fillId="18" borderId="10" xfId="0" applyFont="1" applyFill="1" applyBorder="1" applyAlignment="1">
      <alignment horizontal="right" vertical="center" wrapText="1"/>
    </xf>
    <xf numFmtId="1" fontId="14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7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18" borderId="0" xfId="0" applyFont="1" applyFill="1" applyBorder="1" applyAlignment="1">
      <alignment vertical="center"/>
    </xf>
    <xf numFmtId="1" fontId="0" fillId="18" borderId="0" xfId="0" applyNumberFormat="1" applyFont="1" applyFill="1" applyAlignment="1">
      <alignment/>
    </xf>
    <xf numFmtId="0" fontId="0" fillId="18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 vertical="center" wrapText="1"/>
    </xf>
    <xf numFmtId="0" fontId="14" fillId="18" borderId="10" xfId="0" applyFont="1" applyFill="1" applyBorder="1" applyAlignment="1">
      <alignment horizontal="right" vertical="center" wrapText="1"/>
    </xf>
    <xf numFmtId="0" fontId="14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right" vertical="center"/>
    </xf>
    <xf numFmtId="1" fontId="14" fillId="18" borderId="10" xfId="0" applyNumberFormat="1" applyFont="1" applyFill="1" applyBorder="1" applyAlignment="1">
      <alignment horizontal="center" vertical="center" wrapText="1"/>
    </xf>
    <xf numFmtId="172" fontId="30" fillId="0" borderId="0" xfId="0" applyNumberFormat="1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center"/>
    </xf>
    <xf numFmtId="1" fontId="41" fillId="18" borderId="0" xfId="0" applyNumberFormat="1" applyFont="1" applyFill="1" applyBorder="1" applyAlignment="1">
      <alignment vertical="top" wrapText="1"/>
    </xf>
    <xf numFmtId="1" fontId="23" fillId="0" borderId="0" xfId="0" applyNumberFormat="1" applyFont="1" applyFill="1" applyBorder="1" applyAlignment="1">
      <alignment horizontal="center" vertical="top"/>
    </xf>
    <xf numFmtId="2" fontId="22" fillId="0" borderId="0" xfId="0" applyNumberFormat="1" applyFont="1" applyFill="1" applyBorder="1" applyAlignment="1">
      <alignment horizontal="center" vertical="top"/>
    </xf>
    <xf numFmtId="1" fontId="22" fillId="0" borderId="0" xfId="0" applyNumberFormat="1" applyFont="1" applyFill="1" applyBorder="1" applyAlignment="1">
      <alignment horizontal="center" vertical="justify"/>
    </xf>
    <xf numFmtId="1" fontId="14" fillId="0" borderId="0" xfId="0" applyNumberFormat="1" applyFont="1" applyBorder="1" applyAlignment="1">
      <alignment horizontal="center"/>
    </xf>
    <xf numFmtId="0" fontId="14" fillId="0" borderId="10" xfId="0" applyFont="1" applyBorder="1" applyAlignment="1">
      <alignment horizontal="right"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9" fillId="0" borderId="0" xfId="0" applyFont="1" applyFill="1" applyAlignment="1">
      <alignment vertical="center"/>
    </xf>
    <xf numFmtId="0" fontId="3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4" fillId="0" borderId="12" xfId="0" applyFont="1" applyBorder="1" applyAlignment="1">
      <alignment vertical="center" wrapText="1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1" fontId="14" fillId="19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34" fillId="0" borderId="10" xfId="0" applyFont="1" applyBorder="1" applyAlignment="1">
      <alignment horizontal="center" vertical="center"/>
    </xf>
    <xf numFmtId="172" fontId="14" fillId="18" borderId="0" xfId="0" applyNumberFormat="1" applyFont="1" applyFill="1" applyBorder="1" applyAlignment="1">
      <alignment horizontal="center" vertical="center"/>
    </xf>
    <xf numFmtId="0" fontId="30" fillId="18" borderId="0" xfId="0" applyFont="1" applyFill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14" fillId="19" borderId="10" xfId="0" applyFont="1" applyFill="1" applyBorder="1" applyAlignment="1">
      <alignment horizontal="right" vertical="center"/>
    </xf>
    <xf numFmtId="1" fontId="14" fillId="0" borderId="10" xfId="0" applyNumberFormat="1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" fontId="14" fillId="18" borderId="0" xfId="0" applyNumberFormat="1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" fontId="0" fillId="18" borderId="0" xfId="0" applyNumberFormat="1" applyFont="1" applyFill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right" vertical="center" wrapText="1"/>
    </xf>
    <xf numFmtId="1" fontId="14" fillId="0" borderId="10" xfId="53" applyNumberFormat="1" applyFont="1" applyBorder="1" applyAlignment="1">
      <alignment horizontal="center" vertical="center"/>
      <protection/>
    </xf>
    <xf numFmtId="172" fontId="33" fillId="18" borderId="10" xfId="0" applyNumberFormat="1" applyFont="1" applyFill="1" applyBorder="1" applyAlignment="1">
      <alignment horizontal="center" vertical="center"/>
    </xf>
    <xf numFmtId="1" fontId="14" fillId="18" borderId="10" xfId="53" applyNumberFormat="1" applyFont="1" applyFill="1" applyBorder="1" applyAlignment="1">
      <alignment horizontal="center" vertical="center"/>
      <protection/>
    </xf>
    <xf numFmtId="0" fontId="14" fillId="0" borderId="10" xfId="53" applyFont="1" applyFill="1" applyBorder="1" applyAlignment="1">
      <alignment horizontal="right" vertical="center"/>
      <protection/>
    </xf>
    <xf numFmtId="172" fontId="14" fillId="18" borderId="10" xfId="53" applyNumberFormat="1" applyFont="1" applyFill="1" applyBorder="1" applyAlignment="1">
      <alignment horizontal="center" vertical="center"/>
      <protection/>
    </xf>
    <xf numFmtId="49" fontId="23" fillId="0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 applyProtection="1">
      <alignment horizontal="center" vertical="center"/>
      <protection/>
    </xf>
    <xf numFmtId="0" fontId="14" fillId="18" borderId="10" xfId="0" applyFont="1" applyFill="1" applyBorder="1" applyAlignment="1">
      <alignment horizontal="right" vertical="center"/>
    </xf>
    <xf numFmtId="49" fontId="40" fillId="0" borderId="0" xfId="0" applyNumberFormat="1" applyFont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27" fillId="18" borderId="0" xfId="0" applyFont="1" applyFill="1" applyBorder="1" applyAlignment="1">
      <alignment vertical="center"/>
    </xf>
    <xf numFmtId="0" fontId="27" fillId="18" borderId="0" xfId="0" applyFont="1" applyFill="1" applyBorder="1" applyAlignment="1">
      <alignment vertical="center" wrapText="1"/>
    </xf>
    <xf numFmtId="172" fontId="0" fillId="18" borderId="0" xfId="0" applyNumberFormat="1" applyFont="1" applyFill="1" applyBorder="1" applyAlignment="1">
      <alignment/>
    </xf>
    <xf numFmtId="0" fontId="27" fillId="18" borderId="0" xfId="0" applyFont="1" applyFill="1" applyBorder="1" applyAlignment="1">
      <alignment horizontal="left" vertical="center" wrapText="1"/>
    </xf>
    <xf numFmtId="2" fontId="0" fillId="18" borderId="0" xfId="0" applyNumberFormat="1" applyFont="1" applyFill="1" applyBorder="1" applyAlignment="1">
      <alignment/>
    </xf>
    <xf numFmtId="0" fontId="14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23" fillId="0" borderId="10" xfId="53" applyFont="1" applyFill="1" applyBorder="1" applyAlignment="1">
      <alignment horizontal="center" vertical="center"/>
      <protection/>
    </xf>
    <xf numFmtId="1" fontId="14" fillId="19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18" borderId="10" xfId="0" applyNumberFormat="1" applyFont="1" applyFill="1" applyBorder="1" applyAlignment="1">
      <alignment horizontal="center" vertical="center" wrapText="1"/>
    </xf>
    <xf numFmtId="172" fontId="0" fillId="18" borderId="10" xfId="0" applyNumberFormat="1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4" fillId="0" borderId="10" xfId="53" applyFont="1" applyFill="1" applyBorder="1" applyAlignment="1">
      <alignment horizontal="right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right" vertical="center"/>
    </xf>
    <xf numFmtId="1" fontId="14" fillId="19" borderId="10" xfId="0" applyNumberFormat="1" applyFont="1" applyFill="1" applyBorder="1" applyAlignment="1">
      <alignment horizontal="center" vertical="center" wrapText="1"/>
    </xf>
    <xf numFmtId="0" fontId="14" fillId="18" borderId="10" xfId="53" applyFont="1" applyFill="1" applyBorder="1" applyAlignment="1">
      <alignment horizontal="right" vertical="center"/>
      <protection/>
    </xf>
    <xf numFmtId="0" fontId="14" fillId="0" borderId="10" xfId="0" applyNumberFormat="1" applyFont="1" applyBorder="1" applyAlignment="1" applyProtection="1">
      <alignment horizontal="center" vertical="center"/>
      <protection/>
    </xf>
    <xf numFmtId="0" fontId="14" fillId="20" borderId="1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right" vertical="center" wrapText="1"/>
    </xf>
    <xf numFmtId="1" fontId="23" fillId="0" borderId="10" xfId="0" applyNumberFormat="1" applyFont="1" applyFill="1" applyBorder="1" applyAlignment="1" applyProtection="1">
      <alignment horizontal="center" vertical="center"/>
      <protection/>
    </xf>
    <xf numFmtId="0" fontId="34" fillId="0" borderId="14" xfId="0" applyFont="1" applyBorder="1" applyAlignment="1">
      <alignment horizontal="center" vertical="center"/>
    </xf>
    <xf numFmtId="0" fontId="14" fillId="18" borderId="1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center" vertical="center" wrapText="1"/>
    </xf>
    <xf numFmtId="1" fontId="23" fillId="18" borderId="0" xfId="0" applyNumberFormat="1" applyFont="1" applyFill="1" applyBorder="1" applyAlignment="1">
      <alignment horizontal="center" vertical="center" wrapText="1"/>
    </xf>
    <xf numFmtId="2" fontId="23" fillId="18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172" fontId="0" fillId="18" borderId="0" xfId="0" applyNumberFormat="1" applyFont="1" applyFill="1" applyBorder="1" applyAlignment="1">
      <alignment vertical="center"/>
    </xf>
    <xf numFmtId="1" fontId="0" fillId="18" borderId="0" xfId="0" applyNumberFormat="1" applyFont="1" applyFill="1" applyBorder="1" applyAlignment="1">
      <alignment vertical="center"/>
    </xf>
    <xf numFmtId="2" fontId="0" fillId="18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/>
    </xf>
    <xf numFmtId="172" fontId="14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0" fillId="18" borderId="0" xfId="0" applyNumberFormat="1" applyFont="1" applyFill="1" applyBorder="1" applyAlignment="1">
      <alignment vertical="center"/>
    </xf>
    <xf numFmtId="0" fontId="39" fillId="0" borderId="10" xfId="53" applyFont="1" applyFill="1" applyBorder="1" applyAlignment="1">
      <alignment horizontal="center" vertical="center"/>
      <protection/>
    </xf>
    <xf numFmtId="1" fontId="23" fillId="18" borderId="0" xfId="0" applyNumberFormat="1" applyFont="1" applyFill="1" applyBorder="1" applyAlignment="1">
      <alignment horizontal="center" vertical="center"/>
    </xf>
    <xf numFmtId="2" fontId="30" fillId="18" borderId="0" xfId="0" applyNumberFormat="1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right" vertical="center" wrapText="1"/>
    </xf>
    <xf numFmtId="1" fontId="14" fillId="19" borderId="0" xfId="0" applyNumberFormat="1" applyFont="1" applyFill="1" applyBorder="1" applyAlignment="1">
      <alignment horizontal="center" vertical="center"/>
    </xf>
    <xf numFmtId="1" fontId="14" fillId="18" borderId="0" xfId="0" applyNumberFormat="1" applyFont="1" applyFill="1" applyBorder="1" applyAlignment="1" applyProtection="1">
      <alignment horizontal="center" vertical="center"/>
      <protection/>
    </xf>
    <xf numFmtId="0" fontId="14" fillId="18" borderId="0" xfId="0" applyFont="1" applyFill="1" applyBorder="1" applyAlignment="1">
      <alignment horizontal="right" vertical="center" wrapText="1"/>
    </xf>
    <xf numFmtId="2" fontId="22" fillId="18" borderId="0" xfId="0" applyNumberFormat="1" applyFont="1" applyFill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1" fontId="27" fillId="18" borderId="10" xfId="0" applyNumberFormat="1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center" vertical="center"/>
    </xf>
    <xf numFmtId="1" fontId="28" fillId="18" borderId="10" xfId="0" applyNumberFormat="1" applyFont="1" applyFill="1" applyBorder="1" applyAlignment="1">
      <alignment horizontal="center" vertical="center"/>
    </xf>
    <xf numFmtId="0" fontId="33" fillId="18" borderId="10" xfId="0" applyFont="1" applyFill="1" applyBorder="1" applyAlignment="1">
      <alignment horizontal="center" vertical="center" wrapText="1"/>
    </xf>
    <xf numFmtId="0" fontId="33" fillId="18" borderId="10" xfId="0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left" vertical="center" wrapText="1"/>
    </xf>
    <xf numFmtId="0" fontId="27" fillId="18" borderId="10" xfId="0" applyFont="1" applyFill="1" applyBorder="1" applyAlignment="1">
      <alignment vertical="center"/>
    </xf>
    <xf numFmtId="0" fontId="35" fillId="18" borderId="0" xfId="0" applyFont="1" applyFill="1" applyAlignment="1">
      <alignment/>
    </xf>
    <xf numFmtId="2" fontId="32" fillId="18" borderId="0" xfId="0" applyNumberFormat="1" applyFont="1" applyFill="1" applyBorder="1" applyAlignment="1">
      <alignment horizontal="center" vertical="center"/>
    </xf>
    <xf numFmtId="1" fontId="32" fillId="18" borderId="0" xfId="0" applyNumberFormat="1" applyFont="1" applyFill="1" applyBorder="1" applyAlignment="1">
      <alignment horizontal="center" vertical="center"/>
    </xf>
    <xf numFmtId="0" fontId="0" fillId="18" borderId="0" xfId="0" applyFont="1" applyFill="1" applyBorder="1" applyAlignment="1">
      <alignment horizontal="right" vertical="center"/>
    </xf>
    <xf numFmtId="2" fontId="14" fillId="18" borderId="0" xfId="0" applyNumberFormat="1" applyFont="1" applyFill="1" applyBorder="1" applyAlignment="1">
      <alignment horizontal="center" vertical="center"/>
    </xf>
    <xf numFmtId="0" fontId="14" fillId="18" borderId="0" xfId="0" applyFont="1" applyFill="1" applyBorder="1" applyAlignment="1">
      <alignment horizontal="right" vertical="center"/>
    </xf>
    <xf numFmtId="0" fontId="14" fillId="18" borderId="0" xfId="0" applyFont="1" applyFill="1" applyBorder="1" applyAlignment="1">
      <alignment horizontal="center" vertical="center"/>
    </xf>
    <xf numFmtId="0" fontId="14" fillId="18" borderId="0" xfId="54" applyFont="1" applyFill="1" applyBorder="1" applyAlignment="1">
      <alignment horizontal="right" vertical="center" wrapText="1"/>
      <protection/>
    </xf>
    <xf numFmtId="0" fontId="0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10" xfId="53" applyFont="1" applyFill="1" applyBorder="1" applyAlignment="1">
      <alignment horizontal="center" vertical="center"/>
      <protection/>
    </xf>
    <xf numFmtId="0" fontId="33" fillId="0" borderId="10" xfId="0" applyFont="1" applyFill="1" applyBorder="1" applyAlignment="1">
      <alignment horizontal="center" vertical="center"/>
    </xf>
    <xf numFmtId="172" fontId="30" fillId="0" borderId="10" xfId="0" applyNumberFormat="1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2" fontId="0" fillId="0" borderId="10" xfId="0" applyNumberFormat="1" applyFont="1" applyFill="1" applyBorder="1" applyAlignment="1">
      <alignment vertical="center"/>
    </xf>
    <xf numFmtId="172" fontId="14" fillId="0" borderId="10" xfId="0" applyNumberFormat="1" applyFont="1" applyFill="1" applyBorder="1" applyAlignment="1">
      <alignment horizontal="center" vertical="center"/>
    </xf>
    <xf numFmtId="172" fontId="37" fillId="0" borderId="10" xfId="0" applyNumberFormat="1" applyFont="1" applyFill="1" applyBorder="1" applyAlignment="1">
      <alignment horizontal="center" vertical="center"/>
    </xf>
    <xf numFmtId="172" fontId="23" fillId="0" borderId="10" xfId="53" applyNumberFormat="1" applyFont="1" applyFill="1" applyBorder="1" applyAlignment="1">
      <alignment horizontal="center" vertical="center"/>
      <protection/>
    </xf>
    <xf numFmtId="172" fontId="14" fillId="0" borderId="10" xfId="53" applyNumberFormat="1" applyFont="1" applyFill="1" applyBorder="1" applyAlignment="1">
      <alignment horizontal="center" vertical="center"/>
      <protection/>
    </xf>
    <xf numFmtId="1" fontId="14" fillId="0" borderId="10" xfId="53" applyNumberFormat="1" applyFont="1" applyFill="1" applyBorder="1" applyAlignment="1">
      <alignment horizontal="center" vertical="center"/>
      <protection/>
    </xf>
    <xf numFmtId="2" fontId="0" fillId="0" borderId="10" xfId="0" applyNumberFormat="1" applyFont="1" applyFill="1" applyBorder="1" applyAlignment="1">
      <alignment horizontal="center" vertical="center"/>
    </xf>
    <xf numFmtId="172" fontId="39" fillId="0" borderId="10" xfId="53" applyNumberFormat="1" applyFont="1" applyFill="1" applyBorder="1" applyAlignment="1">
      <alignment horizontal="center" vertical="center"/>
      <protection/>
    </xf>
    <xf numFmtId="1" fontId="0" fillId="0" borderId="10" xfId="0" applyNumberFormat="1" applyFont="1" applyFill="1" applyBorder="1" applyAlignment="1">
      <alignment vertical="center"/>
    </xf>
    <xf numFmtId="0" fontId="24" fillId="0" borderId="10" xfId="0" applyFont="1" applyFill="1" applyBorder="1" applyAlignment="1">
      <alignment horizontal="center" vertical="center"/>
    </xf>
    <xf numFmtId="1" fontId="32" fillId="0" borderId="10" xfId="0" applyNumberFormat="1" applyFont="1" applyFill="1" applyBorder="1" applyAlignment="1">
      <alignment horizontal="center" vertical="center"/>
    </xf>
    <xf numFmtId="172" fontId="30" fillId="18" borderId="0" xfId="0" applyNumberFormat="1" applyFont="1" applyFill="1" applyBorder="1" applyAlignment="1">
      <alignment horizontal="center" vertical="center"/>
    </xf>
    <xf numFmtId="2" fontId="14" fillId="18" borderId="0" xfId="0" applyNumberFormat="1" applyFont="1" applyFill="1" applyBorder="1" applyAlignment="1">
      <alignment vertical="center"/>
    </xf>
    <xf numFmtId="1" fontId="23" fillId="18" borderId="10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 wrapText="1"/>
    </xf>
    <xf numFmtId="172" fontId="23" fillId="18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/>
    </xf>
    <xf numFmtId="172" fontId="30" fillId="18" borderId="10" xfId="0" applyNumberFormat="1" applyFont="1" applyFill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43" fillId="0" borderId="0" xfId="0" applyFont="1" applyAlignment="1">
      <alignment/>
    </xf>
    <xf numFmtId="0" fontId="0" fillId="18" borderId="0" xfId="0" applyFill="1" applyAlignment="1">
      <alignment vertical="center"/>
    </xf>
    <xf numFmtId="172" fontId="0" fillId="18" borderId="0" xfId="0" applyNumberFormat="1" applyFill="1" applyAlignment="1">
      <alignment vertical="center"/>
    </xf>
    <xf numFmtId="0" fontId="0" fillId="18" borderId="0" xfId="0" applyFont="1" applyFill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24" fillId="0" borderId="0" xfId="0" applyFont="1" applyFill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18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49" fontId="24" fillId="0" borderId="14" xfId="0" applyNumberFormat="1" applyFont="1" applyFill="1" applyBorder="1" applyAlignment="1">
      <alignment horizontal="center" vertical="center" wrapText="1"/>
    </xf>
    <xf numFmtId="9" fontId="24" fillId="0" borderId="0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/>
    </xf>
    <xf numFmtId="1" fontId="44" fillId="18" borderId="0" xfId="0" applyNumberFormat="1" applyFont="1" applyFill="1" applyBorder="1" applyAlignment="1">
      <alignment horizontal="center" vertical="center"/>
    </xf>
    <xf numFmtId="17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27" fillId="0" borderId="0" xfId="0" applyFont="1" applyFill="1" applyAlignment="1">
      <alignment vertical="center"/>
    </xf>
    <xf numFmtId="1" fontId="36" fillId="0" borderId="10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/>
    </xf>
    <xf numFmtId="1" fontId="32" fillId="18" borderId="10" xfId="0" applyNumberFormat="1" applyFont="1" applyFill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 wrapText="1"/>
    </xf>
    <xf numFmtId="172" fontId="14" fillId="18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/>
    </xf>
    <xf numFmtId="0" fontId="30" fillId="18" borderId="10" xfId="0" applyFont="1" applyFill="1" applyBorder="1" applyAlignment="1">
      <alignment vertical="center"/>
    </xf>
    <xf numFmtId="172" fontId="30" fillId="18" borderId="10" xfId="0" applyNumberFormat="1" applyFont="1" applyFill="1" applyBorder="1" applyAlignment="1">
      <alignment vertical="center"/>
    </xf>
    <xf numFmtId="0" fontId="0" fillId="18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right" vertical="center"/>
    </xf>
    <xf numFmtId="0" fontId="30" fillId="18" borderId="10" xfId="0" applyFont="1" applyFill="1" applyBorder="1" applyAlignment="1">
      <alignment horizontal="center" vertical="center"/>
    </xf>
    <xf numFmtId="0" fontId="48" fillId="18" borderId="10" xfId="0" applyFont="1" applyFill="1" applyBorder="1" applyAlignment="1">
      <alignment horizontal="center" vertical="center"/>
    </xf>
    <xf numFmtId="172" fontId="23" fillId="0" borderId="10" xfId="0" applyNumberFormat="1" applyFont="1" applyBorder="1" applyAlignment="1">
      <alignment horizontal="center" vertical="center"/>
    </xf>
    <xf numFmtId="0" fontId="23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172" fontId="24" fillId="18" borderId="10" xfId="0" applyNumberFormat="1" applyFont="1" applyFill="1" applyBorder="1" applyAlignment="1">
      <alignment horizontal="center" vertical="center"/>
    </xf>
    <xf numFmtId="172" fontId="23" fillId="18" borderId="10" xfId="0" applyNumberFormat="1" applyFont="1" applyFill="1" applyBorder="1" applyAlignment="1">
      <alignment horizontal="center" vertical="center" wrapText="1"/>
    </xf>
    <xf numFmtId="172" fontId="25" fillId="18" borderId="10" xfId="0" applyNumberFormat="1" applyFont="1" applyFill="1" applyBorder="1" applyAlignment="1">
      <alignment horizontal="center" vertical="center"/>
    </xf>
    <xf numFmtId="2" fontId="25" fillId="18" borderId="10" xfId="0" applyNumberFormat="1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vertical="center"/>
    </xf>
    <xf numFmtId="172" fontId="14" fillId="18" borderId="10" xfId="0" applyNumberFormat="1" applyFont="1" applyFill="1" applyBorder="1" applyAlignment="1">
      <alignment vertical="center"/>
    </xf>
    <xf numFmtId="0" fontId="49" fillId="18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172" fontId="50" fillId="18" borderId="10" xfId="0" applyNumberFormat="1" applyFont="1" applyFill="1" applyBorder="1" applyAlignment="1">
      <alignment horizontal="center" vertical="center"/>
    </xf>
    <xf numFmtId="172" fontId="44" fillId="18" borderId="10" xfId="0" applyNumberFormat="1" applyFont="1" applyFill="1" applyBorder="1" applyAlignment="1">
      <alignment horizontal="center" vertical="center"/>
    </xf>
    <xf numFmtId="172" fontId="46" fillId="0" borderId="10" xfId="0" applyNumberFormat="1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 horizontal="center" vertical="center" wrapText="1"/>
    </xf>
    <xf numFmtId="1" fontId="25" fillId="18" borderId="10" xfId="0" applyNumberFormat="1" applyFont="1" applyFill="1" applyBorder="1" applyAlignment="1">
      <alignment horizontal="center" vertical="center" wrapText="1"/>
    </xf>
    <xf numFmtId="2" fontId="25" fillId="18" borderId="10" xfId="0" applyNumberFormat="1" applyFont="1" applyFill="1" applyBorder="1" applyAlignment="1">
      <alignment horizontal="center" vertical="center" wrapText="1"/>
    </xf>
    <xf numFmtId="172" fontId="25" fillId="0" borderId="10" xfId="53" applyNumberFormat="1" applyFont="1" applyFill="1" applyBorder="1" applyAlignment="1">
      <alignment horizontal="center" vertical="center" wrapText="1"/>
      <protection/>
    </xf>
    <xf numFmtId="172" fontId="25" fillId="18" borderId="10" xfId="0" applyNumberFormat="1" applyFont="1" applyFill="1" applyBorder="1" applyAlignment="1">
      <alignment horizontal="center" vertical="center" wrapText="1"/>
    </xf>
    <xf numFmtId="172" fontId="53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2" fontId="52" fillId="18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72" fontId="52" fillId="0" borderId="10" xfId="0" applyNumberFormat="1" applyFont="1" applyFill="1" applyBorder="1" applyAlignment="1">
      <alignment horizontal="center" vertical="center" wrapText="1"/>
    </xf>
    <xf numFmtId="1" fontId="52" fillId="18" borderId="10" xfId="0" applyNumberFormat="1" applyFont="1" applyFill="1" applyBorder="1" applyAlignment="1">
      <alignment horizontal="center" vertical="center" wrapText="1"/>
    </xf>
    <xf numFmtId="172" fontId="25" fillId="0" borderId="10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5" fillId="0" borderId="10" xfId="53" applyFont="1" applyFill="1" applyBorder="1" applyAlignment="1">
      <alignment horizontal="center" vertical="center" wrapText="1"/>
      <protection/>
    </xf>
    <xf numFmtId="1" fontId="25" fillId="0" borderId="10" xfId="53" applyNumberFormat="1" applyFont="1" applyFill="1" applyBorder="1" applyAlignment="1">
      <alignment horizontal="center" vertical="center" wrapText="1"/>
      <protection/>
    </xf>
    <xf numFmtId="1" fontId="52" fillId="0" borderId="0" xfId="0" applyNumberFormat="1" applyFont="1" applyFill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/>
    </xf>
    <xf numFmtId="1" fontId="36" fillId="18" borderId="10" xfId="0" applyNumberFormat="1" applyFont="1" applyFill="1" applyBorder="1" applyAlignment="1">
      <alignment horizontal="center" vertical="center"/>
    </xf>
    <xf numFmtId="1" fontId="0" fillId="18" borderId="0" xfId="0" applyNumberFormat="1" applyFont="1" applyFill="1" applyAlignment="1">
      <alignment vertical="center"/>
    </xf>
    <xf numFmtId="1" fontId="46" fillId="0" borderId="10" xfId="0" applyNumberFormat="1" applyFont="1" applyFill="1" applyBorder="1" applyAlignment="1">
      <alignment vertical="center" wrapText="1"/>
    </xf>
    <xf numFmtId="172" fontId="0" fillId="18" borderId="0" xfId="0" applyNumberFormat="1" applyFont="1" applyFill="1" applyAlignment="1">
      <alignment/>
    </xf>
    <xf numFmtId="2" fontId="25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0" fillId="19" borderId="10" xfId="0" applyNumberFormat="1" applyFont="1" applyFill="1" applyBorder="1" applyAlignment="1">
      <alignment horizontal="center" vertical="center" wrapText="1"/>
    </xf>
    <xf numFmtId="2" fontId="52" fillId="18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0" fontId="27" fillId="18" borderId="0" xfId="0" applyFont="1" applyFill="1" applyBorder="1" applyAlignment="1">
      <alignment horizontal="left" vertical="center" wrapText="1"/>
    </xf>
    <xf numFmtId="0" fontId="27" fillId="18" borderId="0" xfId="0" applyFont="1" applyFill="1" applyBorder="1" applyAlignment="1">
      <alignment vertical="center"/>
    </xf>
    <xf numFmtId="172" fontId="25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172" fontId="25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right" vertical="center"/>
    </xf>
    <xf numFmtId="1" fontId="14" fillId="19" borderId="0" xfId="0" applyNumberFormat="1" applyFont="1" applyFill="1" applyBorder="1" applyAlignment="1">
      <alignment horizontal="center" vertical="center"/>
    </xf>
    <xf numFmtId="0" fontId="14" fillId="19" borderId="0" xfId="0" applyFont="1" applyFill="1" applyBorder="1" applyAlignment="1">
      <alignment horizontal="right" vertical="center" wrapText="1"/>
    </xf>
    <xf numFmtId="0" fontId="30" fillId="0" borderId="0" xfId="0" applyFont="1" applyFill="1" applyBorder="1" applyAlignment="1">
      <alignment vertical="center"/>
    </xf>
    <xf numFmtId="172" fontId="30" fillId="0" borderId="0" xfId="0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1" fontId="0" fillId="0" borderId="0" xfId="0" applyNumberFormat="1" applyFont="1" applyAlignment="1">
      <alignment horizontal="center"/>
    </xf>
    <xf numFmtId="172" fontId="27" fillId="18" borderId="10" xfId="0" applyNumberFormat="1" applyFont="1" applyFill="1" applyBorder="1" applyAlignment="1">
      <alignment horizontal="center" vertical="center"/>
    </xf>
    <xf numFmtId="1" fontId="54" fillId="0" borderId="10" xfId="0" applyNumberFormat="1" applyFont="1" applyFill="1" applyBorder="1" applyAlignment="1">
      <alignment horizontal="center" vertical="center"/>
    </xf>
    <xf numFmtId="1" fontId="33" fillId="18" borderId="10" xfId="0" applyNumberFormat="1" applyFont="1" applyFill="1" applyBorder="1" applyAlignment="1">
      <alignment horizontal="center" vertical="center"/>
    </xf>
    <xf numFmtId="0" fontId="27" fillId="18" borderId="10" xfId="0" applyFont="1" applyFill="1" applyBorder="1" applyAlignment="1">
      <alignment horizontal="left" vertical="center" wrapText="1"/>
    </xf>
    <xf numFmtId="1" fontId="44" fillId="18" borderId="10" xfId="0" applyNumberFormat="1" applyFont="1" applyFill="1" applyBorder="1" applyAlignment="1">
      <alignment horizontal="center" vertical="center"/>
    </xf>
    <xf numFmtId="1" fontId="44" fillId="18" borderId="14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 wrapText="1"/>
    </xf>
    <xf numFmtId="2" fontId="25" fillId="18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172" fontId="23" fillId="0" borderId="0" xfId="0" applyNumberFormat="1" applyFont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172" fontId="30" fillId="18" borderId="0" xfId="0" applyNumberFormat="1" applyFont="1" applyFill="1" applyBorder="1" applyAlignment="1">
      <alignment horizontal="center" vertical="center"/>
    </xf>
    <xf numFmtId="172" fontId="25" fillId="18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1" fontId="14" fillId="0" borderId="0" xfId="0" applyNumberFormat="1" applyFont="1" applyBorder="1" applyAlignment="1">
      <alignment horizontal="center" vertical="center" wrapText="1"/>
    </xf>
    <xf numFmtId="0" fontId="14" fillId="0" borderId="0" xfId="53" applyFont="1" applyFill="1" applyBorder="1" applyAlignment="1">
      <alignment horizontal="right" vertical="center" wrapText="1"/>
      <protection/>
    </xf>
    <xf numFmtId="0" fontId="14" fillId="0" borderId="0" xfId="53" applyFont="1" applyFill="1" applyBorder="1" applyAlignment="1">
      <alignment horizontal="center" vertical="center" wrapText="1"/>
      <protection/>
    </xf>
    <xf numFmtId="172" fontId="14" fillId="0" borderId="0" xfId="0" applyNumberFormat="1" applyFont="1" applyBorder="1" applyAlignment="1">
      <alignment horizontal="center" vertical="center" wrapText="1"/>
    </xf>
    <xf numFmtId="1" fontId="25" fillId="18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Border="1" applyAlignment="1">
      <alignment horizontal="center" vertical="center"/>
    </xf>
    <xf numFmtId="1" fontId="14" fillId="0" borderId="0" xfId="0" applyNumberFormat="1" applyFont="1" applyBorder="1" applyAlignment="1">
      <alignment horizontal="center" vertical="center"/>
    </xf>
    <xf numFmtId="0" fontId="25" fillId="18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172" fontId="23" fillId="0" borderId="0" xfId="0" applyNumberFormat="1" applyFont="1" applyFill="1" applyBorder="1" applyAlignment="1">
      <alignment horizontal="center" vertical="center" wrapText="1"/>
    </xf>
    <xf numFmtId="1" fontId="2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 wrapText="1"/>
    </xf>
    <xf numFmtId="1" fontId="14" fillId="18" borderId="0" xfId="0" applyNumberFormat="1" applyFont="1" applyFill="1" applyBorder="1" applyAlignment="1">
      <alignment horizontal="center" vertical="center" wrapText="1"/>
    </xf>
    <xf numFmtId="172" fontId="23" fillId="18" borderId="0" xfId="0" applyNumberFormat="1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1" fontId="52" fillId="18" borderId="0" xfId="0" applyNumberFormat="1" applyFont="1" applyFill="1" applyBorder="1" applyAlignment="1">
      <alignment horizontal="center" vertical="center" wrapText="1"/>
    </xf>
    <xf numFmtId="2" fontId="28" fillId="2" borderId="10" xfId="0" applyNumberFormat="1" applyFont="1" applyFill="1" applyBorder="1" applyAlignment="1">
      <alignment horizontal="center" vertical="center" wrapText="1"/>
    </xf>
    <xf numFmtId="1" fontId="56" fillId="2" borderId="10" xfId="0" applyNumberFormat="1" applyFont="1" applyFill="1" applyBorder="1" applyAlignment="1">
      <alignment horizontal="center" vertical="center" wrapText="1"/>
    </xf>
    <xf numFmtId="2" fontId="29" fillId="0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Border="1" applyAlignment="1">
      <alignment horizontal="center" vertical="center" wrapText="1"/>
    </xf>
    <xf numFmtId="0" fontId="14" fillId="19" borderId="10" xfId="0" applyFont="1" applyFill="1" applyBorder="1" applyAlignment="1">
      <alignment horizontal="center" vertical="center"/>
    </xf>
    <xf numFmtId="0" fontId="0" fillId="0" borderId="10" xfId="54" applyFont="1" applyFill="1" applyBorder="1" applyAlignment="1">
      <alignment horizontal="right" vertical="center"/>
      <protection/>
    </xf>
    <xf numFmtId="0" fontId="14" fillId="0" borderId="10" xfId="0" applyFont="1" applyFill="1" applyBorder="1" applyAlignment="1">
      <alignment horizontal="right" vertical="center"/>
    </xf>
    <xf numFmtId="0" fontId="14" fillId="18" borderId="12" xfId="0" applyFont="1" applyFill="1" applyBorder="1" applyAlignment="1">
      <alignment horizontal="center" vertical="center"/>
    </xf>
    <xf numFmtId="1" fontId="14" fillId="18" borderId="14" xfId="0" applyNumberFormat="1" applyFont="1" applyFill="1" applyBorder="1" applyAlignment="1">
      <alignment horizontal="center" vertical="center"/>
    </xf>
    <xf numFmtId="1" fontId="23" fillId="18" borderId="14" xfId="0" applyNumberFormat="1" applyFont="1" applyFill="1" applyBorder="1" applyAlignment="1">
      <alignment horizontal="center" vertical="center"/>
    </xf>
    <xf numFmtId="0" fontId="23" fillId="18" borderId="13" xfId="0" applyFont="1" applyFill="1" applyBorder="1" applyAlignment="1">
      <alignment horizontal="center" vertical="center" wrapText="1"/>
    </xf>
    <xf numFmtId="1" fontId="23" fillId="18" borderId="15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1" fontId="23" fillId="18" borderId="10" xfId="0" applyNumberFormat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172" fontId="36" fillId="2" borderId="10" xfId="0" applyNumberFormat="1" applyFont="1" applyFill="1" applyBorder="1" applyAlignment="1">
      <alignment horizontal="center" vertical="center"/>
    </xf>
    <xf numFmtId="0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72" fontId="36" fillId="18" borderId="10" xfId="0" applyNumberFormat="1" applyFont="1" applyFill="1" applyBorder="1" applyAlignment="1">
      <alignment horizontal="center" vertical="center"/>
    </xf>
    <xf numFmtId="172" fontId="24" fillId="18" borderId="0" xfId="0" applyNumberFormat="1" applyFont="1" applyFill="1" applyBorder="1" applyAlignment="1">
      <alignment horizontal="center" vertical="center"/>
    </xf>
    <xf numFmtId="1" fontId="24" fillId="18" borderId="0" xfId="0" applyNumberFormat="1" applyFont="1" applyFill="1" applyBorder="1" applyAlignment="1">
      <alignment horizontal="center" vertical="center"/>
    </xf>
    <xf numFmtId="172" fontId="44" fillId="18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 wrapText="1"/>
    </xf>
    <xf numFmtId="172" fontId="25" fillId="0" borderId="10" xfId="0" applyNumberFormat="1" applyFont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 wrapText="1"/>
    </xf>
    <xf numFmtId="0" fontId="23" fillId="18" borderId="10" xfId="0" applyFont="1" applyFill="1" applyBorder="1" applyAlignment="1">
      <alignment vertical="center" wrapText="1"/>
    </xf>
    <xf numFmtId="1" fontId="23" fillId="18" borderId="10" xfId="0" applyNumberFormat="1" applyFont="1" applyFill="1" applyBorder="1" applyAlignment="1">
      <alignment horizontal="center" vertical="center" wrapText="1"/>
    </xf>
    <xf numFmtId="172" fontId="36" fillId="18" borderId="0" xfId="0" applyNumberFormat="1" applyFont="1" applyFill="1" applyBorder="1" applyAlignment="1">
      <alignment horizontal="center" vertical="center"/>
    </xf>
    <xf numFmtId="1" fontId="36" fillId="18" borderId="0" xfId="0" applyNumberFormat="1" applyFont="1" applyFill="1" applyBorder="1" applyAlignment="1">
      <alignment horizontal="center" vertical="center"/>
    </xf>
    <xf numFmtId="172" fontId="25" fillId="18" borderId="0" xfId="0" applyNumberFormat="1" applyFont="1" applyFill="1" applyBorder="1" applyAlignment="1">
      <alignment horizontal="center" vertical="center" wrapText="1"/>
    </xf>
    <xf numFmtId="0" fontId="24" fillId="18" borderId="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1" fontId="23" fillId="18" borderId="10" xfId="0" applyNumberFormat="1" applyFont="1" applyFill="1" applyBorder="1" applyAlignment="1">
      <alignment horizontal="center" vertical="center" wrapText="1"/>
    </xf>
    <xf numFmtId="49" fontId="0" fillId="18" borderId="10" xfId="0" applyNumberFormat="1" applyFont="1" applyFill="1" applyBorder="1" applyAlignment="1">
      <alignment vertical="center"/>
    </xf>
    <xf numFmtId="172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172" fontId="26" fillId="18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/>
    </xf>
    <xf numFmtId="2" fontId="26" fillId="0" borderId="10" xfId="0" applyNumberFormat="1" applyFont="1" applyFill="1" applyBorder="1" applyAlignment="1">
      <alignment vertical="center"/>
    </xf>
    <xf numFmtId="0" fontId="23" fillId="18" borderId="17" xfId="0" applyFont="1" applyFill="1" applyBorder="1" applyAlignment="1">
      <alignment horizontal="center" vertical="center" wrapText="1"/>
    </xf>
    <xf numFmtId="9" fontId="27" fillId="18" borderId="10" xfId="0" applyNumberFormat="1" applyFont="1" applyFill="1" applyBorder="1" applyAlignment="1">
      <alignment horizontal="center" vertical="center" wrapText="1"/>
    </xf>
    <xf numFmtId="0" fontId="34" fillId="18" borderId="10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1" fontId="0" fillId="0" borderId="0" xfId="0" applyNumberFormat="1" applyFont="1" applyBorder="1" applyAlignment="1">
      <alignment/>
    </xf>
    <xf numFmtId="172" fontId="25" fillId="18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1" fontId="39" fillId="0" borderId="10" xfId="0" applyNumberFormat="1" applyFont="1" applyFill="1" applyBorder="1" applyAlignment="1">
      <alignment horizontal="center" vertical="center"/>
    </xf>
    <xf numFmtId="172" fontId="0" fillId="18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left" vertical="center"/>
    </xf>
    <xf numFmtId="172" fontId="14" fillId="18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right" vertical="center"/>
    </xf>
    <xf numFmtId="1" fontId="1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vertical="center"/>
    </xf>
    <xf numFmtId="172" fontId="14" fillId="0" borderId="10" xfId="0" applyNumberFormat="1" applyFont="1" applyBorder="1" applyAlignment="1">
      <alignment vertical="center"/>
    </xf>
    <xf numFmtId="0" fontId="23" fillId="0" borderId="10" xfId="0" applyFont="1" applyFill="1" applyBorder="1" applyAlignment="1">
      <alignment horizontal="right" vertical="center"/>
    </xf>
    <xf numFmtId="172" fontId="29" fillId="18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/>
    </xf>
    <xf numFmtId="49" fontId="14" fillId="18" borderId="10" xfId="0" applyNumberFormat="1" applyFont="1" applyFill="1" applyBorder="1" applyAlignment="1">
      <alignment vertical="center"/>
    </xf>
    <xf numFmtId="1" fontId="14" fillId="0" borderId="10" xfId="0" applyNumberFormat="1" applyFont="1" applyBorder="1" applyAlignment="1" applyProtection="1">
      <alignment horizontal="center" vertical="center"/>
      <protection/>
    </xf>
    <xf numFmtId="2" fontId="52" fillId="0" borderId="10" xfId="0" applyNumberFormat="1" applyFont="1" applyBorder="1" applyAlignment="1">
      <alignment horizontal="center" vertical="center" wrapText="1"/>
    </xf>
    <xf numFmtId="172" fontId="46" fillId="2" borderId="10" xfId="0" applyNumberFormat="1" applyFont="1" applyFill="1" applyBorder="1" applyAlignment="1">
      <alignment horizontal="center" vertical="center" wrapText="1"/>
    </xf>
    <xf numFmtId="172" fontId="26" fillId="18" borderId="10" xfId="0" applyNumberFormat="1" applyFont="1" applyFill="1" applyBorder="1" applyAlignment="1">
      <alignment horizontal="center" vertical="center"/>
    </xf>
    <xf numFmtId="0" fontId="39" fillId="2" borderId="10" xfId="0" applyFont="1" applyFill="1" applyBorder="1" applyAlignment="1">
      <alignment horizontal="center" vertical="center"/>
    </xf>
    <xf numFmtId="0" fontId="39" fillId="18" borderId="10" xfId="0" applyFont="1" applyFill="1" applyBorder="1" applyAlignment="1">
      <alignment horizontal="center" vertical="center"/>
    </xf>
    <xf numFmtId="1" fontId="39" fillId="18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" fontId="24" fillId="18" borderId="10" xfId="0" applyNumberFormat="1" applyFont="1" applyFill="1" applyBorder="1" applyAlignment="1">
      <alignment horizontal="center" vertical="center"/>
    </xf>
    <xf numFmtId="2" fontId="28" fillId="2" borderId="10" xfId="0" applyNumberFormat="1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18" borderId="10" xfId="0" applyFont="1" applyFill="1" applyBorder="1" applyAlignment="1">
      <alignment horizontal="center" vertical="center" wrapText="1"/>
    </xf>
    <xf numFmtId="1" fontId="56" fillId="2" borderId="10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Border="1" applyAlignment="1">
      <alignment horizontal="center" vertical="center"/>
    </xf>
    <xf numFmtId="172" fontId="14" fillId="18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 vertical="center"/>
    </xf>
    <xf numFmtId="0" fontId="23" fillId="18" borderId="0" xfId="0" applyFont="1" applyFill="1" applyBorder="1" applyAlignment="1">
      <alignment horizontal="center" vertical="center" wrapText="1"/>
    </xf>
    <xf numFmtId="1" fontId="0" fillId="19" borderId="10" xfId="0" applyNumberFormat="1" applyFont="1" applyFill="1" applyBorder="1" applyAlignment="1">
      <alignment horizontal="center" vertical="center"/>
    </xf>
    <xf numFmtId="1" fontId="30" fillId="0" borderId="10" xfId="0" applyNumberFormat="1" applyFont="1" applyFill="1" applyBorder="1" applyAlignment="1">
      <alignment horizontal="center" vertical="center"/>
    </xf>
    <xf numFmtId="2" fontId="25" fillId="18" borderId="10" xfId="0" applyNumberFormat="1" applyFont="1" applyFill="1" applyBorder="1" applyAlignment="1">
      <alignment horizontal="center" vertical="center"/>
    </xf>
    <xf numFmtId="1" fontId="23" fillId="18" borderId="16" xfId="0" applyNumberFormat="1" applyFont="1" applyFill="1" applyBorder="1" applyAlignment="1">
      <alignment horizontal="center" vertical="center"/>
    </xf>
    <xf numFmtId="172" fontId="60" fillId="0" borderId="10" xfId="0" applyNumberFormat="1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horizontal="center" vertical="center"/>
    </xf>
    <xf numFmtId="2" fontId="61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Fill="1" applyBorder="1" applyAlignment="1">
      <alignment vertical="center"/>
    </xf>
    <xf numFmtId="2" fontId="60" fillId="18" borderId="10" xfId="0" applyNumberFormat="1" applyFont="1" applyFill="1" applyBorder="1" applyAlignment="1">
      <alignment vertical="center"/>
    </xf>
    <xf numFmtId="172" fontId="25" fillId="0" borderId="10" xfId="0" applyNumberFormat="1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Border="1" applyAlignment="1">
      <alignment horizontal="left" vertical="center"/>
    </xf>
    <xf numFmtId="172" fontId="1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172" fontId="14" fillId="0" borderId="0" xfId="0" applyNumberFormat="1" applyFont="1" applyFill="1" applyBorder="1" applyAlignment="1" applyProtection="1">
      <alignment horizontal="center" vertical="center"/>
      <protection/>
    </xf>
    <xf numFmtId="172" fontId="23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63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left" vertical="center"/>
    </xf>
    <xf numFmtId="0" fontId="62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" fontId="40" fillId="0" borderId="0" xfId="0" applyNumberFormat="1" applyFont="1" applyFill="1" applyBorder="1" applyAlignment="1">
      <alignment horizontal="center" vertical="center"/>
    </xf>
    <xf numFmtId="1" fontId="34" fillId="0" borderId="0" xfId="0" applyNumberFormat="1" applyFont="1" applyFill="1" applyBorder="1" applyAlignment="1">
      <alignment horizontal="center" vertical="center"/>
    </xf>
    <xf numFmtId="172" fontId="40" fillId="0" borderId="0" xfId="0" applyNumberFormat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 wrapText="1"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1" fontId="34" fillId="0" borderId="0" xfId="0" applyNumberFormat="1" applyFont="1" applyFill="1" applyBorder="1" applyAlignment="1" applyProtection="1">
      <alignment horizontal="center" vertical="center"/>
      <protection/>
    </xf>
    <xf numFmtId="172" fontId="3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Font="1" applyFill="1" applyBorder="1" applyAlignment="1">
      <alignment horizontal="right" vertical="top"/>
    </xf>
    <xf numFmtId="0" fontId="64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2" fontId="14" fillId="18" borderId="10" xfId="0" applyNumberFormat="1" applyFont="1" applyFill="1" applyBorder="1" applyAlignment="1">
      <alignment vertical="center"/>
    </xf>
    <xf numFmtId="172" fontId="52" fillId="18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 wrapText="1"/>
    </xf>
    <xf numFmtId="0" fontId="0" fillId="18" borderId="10" xfId="0" applyFont="1" applyFill="1" applyBorder="1" applyAlignment="1">
      <alignment vertical="center"/>
    </xf>
    <xf numFmtId="1" fontId="37" fillId="0" borderId="10" xfId="0" applyNumberFormat="1" applyFont="1" applyFill="1" applyBorder="1" applyAlignment="1">
      <alignment horizontal="center" vertical="center"/>
    </xf>
    <xf numFmtId="2" fontId="52" fillId="0" borderId="10" xfId="0" applyNumberFormat="1" applyFont="1" applyFill="1" applyBorder="1" applyAlignment="1">
      <alignment vertical="center"/>
    </xf>
    <xf numFmtId="2" fontId="60" fillId="18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172" fontId="23" fillId="18" borderId="10" xfId="53" applyNumberFormat="1" applyFont="1" applyFill="1" applyBorder="1" applyAlignment="1">
      <alignment horizontal="center" vertical="center"/>
      <protection/>
    </xf>
    <xf numFmtId="1" fontId="14" fillId="20" borderId="10" xfId="53" applyNumberFormat="1" applyFont="1" applyFill="1" applyBorder="1" applyAlignment="1">
      <alignment horizontal="center" vertical="center"/>
      <protection/>
    </xf>
    <xf numFmtId="172" fontId="52" fillId="18" borderId="0" xfId="0" applyNumberFormat="1" applyFont="1" applyFill="1" applyBorder="1" applyAlignment="1">
      <alignment horizontal="center" vertical="center" wrapText="1"/>
    </xf>
    <xf numFmtId="0" fontId="23" fillId="18" borderId="0" xfId="0" applyFont="1" applyFill="1" applyBorder="1" applyAlignment="1">
      <alignment horizontal="right" vertical="center" wrapText="1"/>
    </xf>
    <xf numFmtId="1" fontId="23" fillId="18" borderId="0" xfId="0" applyNumberFormat="1" applyFont="1" applyFill="1" applyBorder="1" applyAlignment="1" applyProtection="1">
      <alignment horizontal="center" vertical="center"/>
      <protection/>
    </xf>
    <xf numFmtId="0" fontId="0" fillId="18" borderId="0" xfId="0" applyFont="1" applyFill="1" applyBorder="1" applyAlignment="1">
      <alignment horizontal="center"/>
    </xf>
    <xf numFmtId="0" fontId="30" fillId="18" borderId="0" xfId="0" applyFont="1" applyFill="1" applyBorder="1" applyAlignment="1">
      <alignment vertical="center"/>
    </xf>
    <xf numFmtId="172" fontId="30" fillId="18" borderId="0" xfId="0" applyNumberFormat="1" applyFont="1" applyFill="1" applyBorder="1" applyAlignment="1">
      <alignment vertical="center"/>
    </xf>
    <xf numFmtId="172" fontId="23" fillId="18" borderId="0" xfId="53" applyNumberFormat="1" applyFont="1" applyFill="1" applyBorder="1" applyAlignment="1">
      <alignment horizontal="center" vertical="center"/>
      <protection/>
    </xf>
    <xf numFmtId="172" fontId="14" fillId="18" borderId="0" xfId="53" applyNumberFormat="1" applyFont="1" applyFill="1" applyBorder="1" applyAlignment="1">
      <alignment horizontal="center" vertical="center"/>
      <protection/>
    </xf>
    <xf numFmtId="1" fontId="14" fillId="18" borderId="0" xfId="53" applyNumberFormat="1" applyFont="1" applyFill="1" applyBorder="1" applyAlignment="1">
      <alignment horizontal="center" vertical="center"/>
      <protection/>
    </xf>
    <xf numFmtId="2" fontId="25" fillId="18" borderId="0" xfId="0" applyNumberFormat="1" applyFont="1" applyFill="1" applyBorder="1" applyAlignment="1">
      <alignment horizontal="center" vertical="center"/>
    </xf>
    <xf numFmtId="0" fontId="23" fillId="18" borderId="0" xfId="53" applyFont="1" applyFill="1" applyBorder="1" applyAlignment="1">
      <alignment horizontal="center" vertical="center"/>
      <protection/>
    </xf>
    <xf numFmtId="0" fontId="14" fillId="18" borderId="0" xfId="53" applyFont="1" applyFill="1" applyBorder="1" applyAlignment="1">
      <alignment horizontal="center" vertical="center"/>
      <protection/>
    </xf>
    <xf numFmtId="1" fontId="30" fillId="18" borderId="0" xfId="0" applyNumberFormat="1" applyFont="1" applyFill="1" applyBorder="1" applyAlignment="1">
      <alignment horizontal="center" vertical="center"/>
    </xf>
    <xf numFmtId="0" fontId="14" fillId="18" borderId="0" xfId="53" applyFont="1" applyFill="1" applyBorder="1" applyAlignment="1">
      <alignment horizontal="right" vertical="center"/>
      <protection/>
    </xf>
    <xf numFmtId="1" fontId="39" fillId="0" borderId="10" xfId="53" applyNumberFormat="1" applyFont="1" applyFill="1" applyBorder="1" applyAlignment="1">
      <alignment horizontal="center" vertical="center"/>
      <protection/>
    </xf>
    <xf numFmtId="1" fontId="33" fillId="0" borderId="10" xfId="0" applyNumberFormat="1" applyFont="1" applyFill="1" applyBorder="1" applyAlignment="1">
      <alignment horizontal="center" vertical="center"/>
    </xf>
    <xf numFmtId="1" fontId="14" fillId="18" borderId="10" xfId="0" applyNumberFormat="1" applyFont="1" applyFill="1" applyBorder="1" applyAlignment="1">
      <alignment vertical="center"/>
    </xf>
    <xf numFmtId="1" fontId="25" fillId="18" borderId="10" xfId="0" applyNumberFormat="1" applyFont="1" applyFill="1" applyBorder="1" applyAlignment="1">
      <alignment horizontal="center" vertical="center"/>
    </xf>
    <xf numFmtId="1" fontId="30" fillId="18" borderId="10" xfId="0" applyNumberFormat="1" applyFont="1" applyFill="1" applyBorder="1" applyAlignment="1">
      <alignment horizontal="center" vertical="center"/>
    </xf>
    <xf numFmtId="1" fontId="51" fillId="18" borderId="10" xfId="0" applyNumberFormat="1" applyFont="1" applyFill="1" applyBorder="1" applyAlignment="1">
      <alignment horizontal="center" vertical="center"/>
    </xf>
    <xf numFmtId="1" fontId="14" fillId="0" borderId="10" xfId="0" applyNumberFormat="1" applyFont="1" applyBorder="1" applyAlignment="1">
      <alignment vertical="center"/>
    </xf>
    <xf numFmtId="0" fontId="26" fillId="0" borderId="10" xfId="0" applyFont="1" applyBorder="1" applyAlignment="1">
      <alignment/>
    </xf>
    <xf numFmtId="0" fontId="23" fillId="18" borderId="12" xfId="0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vertical="center"/>
    </xf>
    <xf numFmtId="1" fontId="28" fillId="18" borderId="14" xfId="0" applyNumberFormat="1" applyFont="1" applyFill="1" applyBorder="1" applyAlignment="1">
      <alignment horizontal="center" vertical="center"/>
    </xf>
    <xf numFmtId="1" fontId="28" fillId="18" borderId="14" xfId="0" applyNumberFormat="1" applyFont="1" applyFill="1" applyBorder="1" applyAlignment="1">
      <alignment horizontal="center" vertical="center"/>
    </xf>
    <xf numFmtId="0" fontId="27" fillId="18" borderId="13" xfId="0" applyFont="1" applyFill="1" applyBorder="1" applyAlignment="1">
      <alignment vertical="center"/>
    </xf>
    <xf numFmtId="0" fontId="27" fillId="18" borderId="15" xfId="0" applyFont="1" applyFill="1" applyBorder="1" applyAlignment="1">
      <alignment vertical="center"/>
    </xf>
    <xf numFmtId="0" fontId="33" fillId="18" borderId="15" xfId="0" applyFont="1" applyFill="1" applyBorder="1" applyAlignment="1">
      <alignment horizontal="center" vertical="center"/>
    </xf>
    <xf numFmtId="172" fontId="33" fillId="18" borderId="15" xfId="0" applyNumberFormat="1" applyFont="1" applyFill="1" applyBorder="1" applyAlignment="1">
      <alignment horizontal="center" vertical="center"/>
    </xf>
    <xf numFmtId="172" fontId="27" fillId="18" borderId="15" xfId="0" applyNumberFormat="1" applyFont="1" applyFill="1" applyBorder="1" applyAlignment="1">
      <alignment horizontal="center" vertical="center"/>
    </xf>
    <xf numFmtId="1" fontId="27" fillId="18" borderId="15" xfId="0" applyNumberFormat="1" applyFont="1" applyFill="1" applyBorder="1" applyAlignment="1">
      <alignment horizontal="center" vertical="center"/>
    </xf>
    <xf numFmtId="1" fontId="28" fillId="18" borderId="15" xfId="0" applyNumberFormat="1" applyFont="1" applyFill="1" applyBorder="1" applyAlignment="1">
      <alignment horizontal="center" vertical="center"/>
    </xf>
    <xf numFmtId="1" fontId="28" fillId="18" borderId="16" xfId="0" applyNumberFormat="1" applyFont="1" applyFill="1" applyBorder="1" applyAlignment="1">
      <alignment horizontal="center" vertical="center"/>
    </xf>
    <xf numFmtId="49" fontId="36" fillId="18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172" fontId="14" fillId="0" borderId="0" xfId="0" applyNumberFormat="1" applyFont="1" applyBorder="1" applyAlignment="1">
      <alignment horizontal="center" vertical="center"/>
    </xf>
    <xf numFmtId="1" fontId="23" fillId="18" borderId="0" xfId="0" applyNumberFormat="1" applyFont="1" applyFill="1" applyBorder="1" applyAlignment="1">
      <alignment horizontal="center" vertical="center"/>
    </xf>
    <xf numFmtId="2" fontId="52" fillId="18" borderId="0" xfId="0" applyNumberFormat="1" applyFont="1" applyFill="1" applyBorder="1" applyAlignment="1">
      <alignment horizontal="center" vertical="center" wrapText="1"/>
    </xf>
    <xf numFmtId="0" fontId="33" fillId="18" borderId="0" xfId="0" applyFont="1" applyFill="1" applyBorder="1" applyAlignment="1">
      <alignment horizontal="center" vertical="center"/>
    </xf>
    <xf numFmtId="1" fontId="33" fillId="18" borderId="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49" fontId="36" fillId="0" borderId="10" xfId="0" applyNumberFormat="1" applyFont="1" applyFill="1" applyBorder="1" applyAlignment="1">
      <alignment horizontal="center" vertical="center"/>
    </xf>
    <xf numFmtId="0" fontId="24" fillId="18" borderId="0" xfId="0" applyFont="1" applyFill="1" applyBorder="1" applyAlignment="1">
      <alignment horizontal="center" vertical="center"/>
    </xf>
    <xf numFmtId="1" fontId="14" fillId="18" borderId="0" xfId="0" applyNumberFormat="1" applyFont="1" applyFill="1" applyBorder="1" applyAlignment="1">
      <alignment horizontal="center" vertical="center" wrapText="1"/>
    </xf>
    <xf numFmtId="172" fontId="14" fillId="18" borderId="0" xfId="0" applyNumberFormat="1" applyFont="1" applyFill="1" applyBorder="1" applyAlignment="1">
      <alignment horizontal="center" vertical="center"/>
    </xf>
    <xf numFmtId="1" fontId="30" fillId="18" borderId="0" xfId="0" applyNumberFormat="1" applyFont="1" applyFill="1" applyBorder="1" applyAlignment="1">
      <alignment vertical="center"/>
    </xf>
    <xf numFmtId="0" fontId="14" fillId="18" borderId="0" xfId="0" applyFont="1" applyFill="1" applyBorder="1" applyAlignment="1">
      <alignment vertical="center"/>
    </xf>
    <xf numFmtId="172" fontId="14" fillId="18" borderId="0" xfId="0" applyNumberFormat="1" applyFont="1" applyFill="1" applyBorder="1" applyAlignment="1">
      <alignment vertical="center"/>
    </xf>
    <xf numFmtId="0" fontId="52" fillId="18" borderId="0" xfId="0" applyFont="1" applyFill="1" applyBorder="1" applyAlignment="1">
      <alignment horizontal="center" vertical="center" wrapText="1"/>
    </xf>
    <xf numFmtId="0" fontId="14" fillId="18" borderId="0" xfId="0" applyFont="1" applyFill="1" applyBorder="1" applyAlignment="1">
      <alignment horizontal="center" vertical="center"/>
    </xf>
    <xf numFmtId="172" fontId="52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/>
    </xf>
    <xf numFmtId="2" fontId="25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 vertical="center"/>
    </xf>
    <xf numFmtId="2" fontId="52" fillId="18" borderId="0" xfId="0" applyNumberFormat="1" applyFont="1" applyFill="1" applyBorder="1" applyAlignment="1">
      <alignment horizontal="center" vertical="center"/>
    </xf>
    <xf numFmtId="172" fontId="25" fillId="18" borderId="0" xfId="0" applyNumberFormat="1" applyFont="1" applyFill="1" applyBorder="1" applyAlignment="1">
      <alignment horizontal="center" vertical="center"/>
    </xf>
    <xf numFmtId="172" fontId="60" fillId="18" borderId="0" xfId="0" applyNumberFormat="1" applyFont="1" applyFill="1" applyBorder="1" applyAlignment="1">
      <alignment horizontal="center" vertical="center"/>
    </xf>
    <xf numFmtId="2" fontId="26" fillId="18" borderId="0" xfId="0" applyNumberFormat="1" applyFont="1" applyFill="1" applyBorder="1" applyAlignment="1">
      <alignment horizontal="center" vertical="center"/>
    </xf>
    <xf numFmtId="172" fontId="23" fillId="18" borderId="0" xfId="0" applyNumberFormat="1" applyFont="1" applyFill="1" applyBorder="1" applyAlignment="1">
      <alignment horizontal="center" vertical="center" wrapText="1"/>
    </xf>
    <xf numFmtId="0" fontId="14" fillId="18" borderId="0" xfId="0" applyNumberFormat="1" applyFont="1" applyFill="1" applyBorder="1" applyAlignment="1">
      <alignment horizontal="center" vertical="center"/>
    </xf>
    <xf numFmtId="0" fontId="23" fillId="18" borderId="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" fontId="67" fillId="18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/>
    </xf>
    <xf numFmtId="2" fontId="23" fillId="18" borderId="10" xfId="0" applyNumberFormat="1" applyFont="1" applyFill="1" applyBorder="1" applyAlignment="1">
      <alignment vertical="center"/>
    </xf>
    <xf numFmtId="0" fontId="30" fillId="18" borderId="10" xfId="0" applyFont="1" applyFill="1" applyBorder="1" applyAlignment="1">
      <alignment horizontal="center"/>
    </xf>
    <xf numFmtId="0" fontId="23" fillId="18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right" vertical="center"/>
    </xf>
    <xf numFmtId="0" fontId="42" fillId="2" borderId="10" xfId="0" applyFont="1" applyFill="1" applyBorder="1" applyAlignment="1">
      <alignment horizontal="center" vertical="center"/>
    </xf>
    <xf numFmtId="0" fontId="14" fillId="0" borderId="10" xfId="54" applyFont="1" applyBorder="1" applyAlignment="1">
      <alignment horizontal="right" vertical="center" wrapText="1"/>
      <protection/>
    </xf>
    <xf numFmtId="172" fontId="30" fillId="0" borderId="10" xfId="0" applyNumberFormat="1" applyFont="1" applyFill="1" applyBorder="1" applyAlignment="1">
      <alignment vertical="center"/>
    </xf>
    <xf numFmtId="1" fontId="30" fillId="0" borderId="10" xfId="0" applyNumberFormat="1" applyFont="1" applyFill="1" applyBorder="1" applyAlignment="1">
      <alignment vertical="center"/>
    </xf>
    <xf numFmtId="172" fontId="30" fillId="0" borderId="10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2" fontId="23" fillId="18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2" fontId="36" fillId="2" borderId="10" xfId="0" applyNumberFormat="1" applyFont="1" applyFill="1" applyBorder="1" applyAlignment="1">
      <alignment horizontal="center" vertical="center"/>
    </xf>
    <xf numFmtId="1" fontId="36" fillId="2" borderId="10" xfId="0" applyNumberFormat="1" applyFont="1" applyFill="1" applyBorder="1" applyAlignment="1">
      <alignment horizontal="center" vertical="center"/>
    </xf>
    <xf numFmtId="1" fontId="25" fillId="18" borderId="10" xfId="0" applyNumberFormat="1" applyFont="1" applyFill="1" applyBorder="1" applyAlignment="1">
      <alignment horizontal="center" vertical="center"/>
    </xf>
    <xf numFmtId="0" fontId="24" fillId="18" borderId="10" xfId="0" applyFont="1" applyFill="1" applyBorder="1" applyAlignment="1">
      <alignment horizontal="center" vertical="center"/>
    </xf>
    <xf numFmtId="172" fontId="36" fillId="18" borderId="10" xfId="0" applyNumberFormat="1" applyFont="1" applyFill="1" applyBorder="1" applyAlignment="1">
      <alignment horizontal="center" vertical="center"/>
    </xf>
    <xf numFmtId="1" fontId="36" fillId="18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172" fontId="60" fillId="18" borderId="10" xfId="0" applyNumberFormat="1" applyFont="1" applyFill="1" applyBorder="1" applyAlignment="1">
      <alignment vertical="center"/>
    </xf>
    <xf numFmtId="172" fontId="43" fillId="18" borderId="10" xfId="0" applyNumberFormat="1" applyFont="1" applyFill="1" applyBorder="1" applyAlignment="1">
      <alignment horizontal="center" vertical="center"/>
    </xf>
    <xf numFmtId="0" fontId="43" fillId="18" borderId="10" xfId="0" applyFont="1" applyFill="1" applyBorder="1" applyAlignment="1">
      <alignment horizontal="center" vertical="center"/>
    </xf>
    <xf numFmtId="2" fontId="26" fillId="18" borderId="10" xfId="0" applyNumberFormat="1" applyFont="1" applyFill="1" applyBorder="1" applyAlignment="1">
      <alignment horizontal="center" vertical="center"/>
    </xf>
    <xf numFmtId="172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2" fontId="23" fillId="18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1" fontId="23" fillId="0" borderId="10" xfId="0" applyNumberFormat="1" applyFont="1" applyBorder="1" applyAlignment="1">
      <alignment horizontal="center" vertical="center"/>
    </xf>
    <xf numFmtId="0" fontId="39" fillId="18" borderId="10" xfId="0" applyFont="1" applyFill="1" applyBorder="1" applyAlignment="1">
      <alignment vertical="center"/>
    </xf>
    <xf numFmtId="1" fontId="0" fillId="18" borderId="10" xfId="0" applyNumberFormat="1" applyFont="1" applyFill="1" applyBorder="1" applyAlignment="1">
      <alignment vertical="center"/>
    </xf>
    <xf numFmtId="1" fontId="60" fillId="18" borderId="10" xfId="0" applyNumberFormat="1" applyFont="1" applyFill="1" applyBorder="1" applyAlignment="1">
      <alignment horizontal="center" vertical="center" wrapText="1"/>
    </xf>
    <xf numFmtId="2" fontId="24" fillId="18" borderId="10" xfId="0" applyNumberFormat="1" applyFont="1" applyFill="1" applyBorder="1" applyAlignment="1">
      <alignment vertical="center"/>
    </xf>
    <xf numFmtId="0" fontId="30" fillId="0" borderId="10" xfId="0" applyFont="1" applyFill="1" applyBorder="1" applyAlignment="1">
      <alignment horizontal="right" vertical="center" wrapText="1"/>
    </xf>
    <xf numFmtId="0" fontId="30" fillId="0" borderId="10" xfId="0" applyFont="1" applyBorder="1" applyAlignment="1">
      <alignment horizontal="center" vertical="center"/>
    </xf>
    <xf numFmtId="172" fontId="23" fillId="18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172" fontId="46" fillId="18" borderId="10" xfId="0" applyNumberFormat="1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left" vertical="center"/>
    </xf>
    <xf numFmtId="0" fontId="36" fillId="18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172" fontId="23" fillId="18" borderId="0" xfId="0" applyNumberFormat="1" applyFont="1" applyFill="1" applyBorder="1" applyAlignment="1">
      <alignment horizontal="center" vertical="center"/>
    </xf>
    <xf numFmtId="1" fontId="23" fillId="18" borderId="0" xfId="0" applyNumberFormat="1" applyFont="1" applyFill="1" applyBorder="1" applyAlignment="1">
      <alignment horizontal="center" vertical="center"/>
    </xf>
    <xf numFmtId="0" fontId="23" fillId="18" borderId="0" xfId="0" applyFont="1" applyFill="1" applyBorder="1" applyAlignment="1">
      <alignment horizontal="center" vertical="center"/>
    </xf>
    <xf numFmtId="0" fontId="25" fillId="18" borderId="10" xfId="0" applyFont="1" applyFill="1" applyBorder="1" applyAlignment="1">
      <alignment horizontal="center" vertical="center" wrapText="1"/>
    </xf>
    <xf numFmtId="0" fontId="36" fillId="18" borderId="10" xfId="0" applyNumberFormat="1" applyFont="1" applyFill="1" applyBorder="1" applyAlignment="1">
      <alignment horizontal="center" vertical="center"/>
    </xf>
    <xf numFmtId="0" fontId="34" fillId="0" borderId="10" xfId="0" applyNumberFormat="1" applyFont="1" applyFill="1" applyBorder="1" applyAlignment="1">
      <alignment horizontal="center" vertical="center"/>
    </xf>
    <xf numFmtId="172" fontId="27" fillId="0" borderId="10" xfId="0" applyNumberFormat="1" applyFont="1" applyFill="1" applyBorder="1" applyAlignment="1">
      <alignment horizontal="center" vertical="center"/>
    </xf>
    <xf numFmtId="2" fontId="27" fillId="18" borderId="10" xfId="0" applyNumberFormat="1" applyFont="1" applyFill="1" applyBorder="1" applyAlignment="1">
      <alignment horizontal="center" vertical="center"/>
    </xf>
    <xf numFmtId="172" fontId="14" fillId="18" borderId="10" xfId="0" applyNumberFormat="1" applyFont="1" applyFill="1" applyBorder="1" applyAlignment="1">
      <alignment horizontal="right" vertical="center"/>
    </xf>
    <xf numFmtId="2" fontId="41" fillId="0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vertical="center"/>
    </xf>
    <xf numFmtId="172" fontId="28" fillId="18" borderId="10" xfId="0" applyNumberFormat="1" applyFont="1" applyFill="1" applyBorder="1" applyAlignment="1">
      <alignment horizontal="center" vertical="center"/>
    </xf>
    <xf numFmtId="172" fontId="27" fillId="18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36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vertical="center"/>
    </xf>
    <xf numFmtId="0" fontId="14" fillId="19" borderId="10" xfId="0" applyFont="1" applyFill="1" applyBorder="1" applyAlignment="1">
      <alignment horizontal="right" vertical="center" wrapText="1"/>
    </xf>
    <xf numFmtId="0" fontId="14" fillId="18" borderId="10" xfId="0" applyFont="1" applyFill="1" applyBorder="1" applyAlignment="1">
      <alignment horizontal="center" vertical="center"/>
    </xf>
    <xf numFmtId="1" fontId="0" fillId="18" borderId="10" xfId="54" applyNumberFormat="1" applyFont="1" applyFill="1" applyBorder="1" applyAlignment="1">
      <alignment horizontal="center" vertical="center"/>
      <protection/>
    </xf>
    <xf numFmtId="172" fontId="0" fillId="18" borderId="10" xfId="54" applyNumberFormat="1" applyFont="1" applyFill="1" applyBorder="1" applyAlignment="1">
      <alignment horizontal="center" vertical="center"/>
      <protection/>
    </xf>
    <xf numFmtId="172" fontId="0" fillId="18" borderId="0" xfId="54" applyNumberFormat="1" applyFont="1" applyFill="1" applyBorder="1" applyAlignment="1">
      <alignment horizontal="center" vertical="center"/>
      <protection/>
    </xf>
    <xf numFmtId="0" fontId="0" fillId="18" borderId="0" xfId="54" applyFont="1" applyFill="1" applyBorder="1" applyAlignment="1">
      <alignment horizontal="right" vertical="center"/>
      <protection/>
    </xf>
    <xf numFmtId="1" fontId="0" fillId="18" borderId="0" xfId="54" applyNumberFormat="1" applyFont="1" applyFill="1" applyBorder="1" applyAlignment="1">
      <alignment horizontal="center" vertical="center"/>
      <protection/>
    </xf>
    <xf numFmtId="172" fontId="25" fillId="18" borderId="0" xfId="0" applyNumberFormat="1" applyFont="1" applyFill="1" applyBorder="1" applyAlignment="1">
      <alignment horizontal="center" vertical="center"/>
    </xf>
    <xf numFmtId="1" fontId="25" fillId="18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14" fillId="19" borderId="12" xfId="0" applyFont="1" applyFill="1" applyBorder="1" applyAlignment="1">
      <alignment horizontal="right" vertical="center" wrapText="1"/>
    </xf>
    <xf numFmtId="1" fontId="24" fillId="0" borderId="10" xfId="0" applyNumberFormat="1" applyFont="1" applyBorder="1" applyAlignment="1">
      <alignment horizontal="center" vertical="center"/>
    </xf>
    <xf numFmtId="0" fontId="23" fillId="18" borderId="10" xfId="0" applyFon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center" vertical="center"/>
    </xf>
    <xf numFmtId="1" fontId="44" fillId="18" borderId="15" xfId="0" applyNumberFormat="1" applyFont="1" applyFill="1" applyBorder="1" applyAlignment="1">
      <alignment horizontal="center" vertical="center"/>
    </xf>
    <xf numFmtId="1" fontId="44" fillId="18" borderId="16" xfId="0" applyNumberFormat="1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center" vertical="center"/>
    </xf>
    <xf numFmtId="172" fontId="14" fillId="0" borderId="10" xfId="0" applyNumberFormat="1" applyFont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 wrapText="1"/>
    </xf>
    <xf numFmtId="0" fontId="30" fillId="18" borderId="10" xfId="0" applyFont="1" applyFill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18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0" fontId="28" fillId="0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vertical="center" wrapText="1"/>
    </xf>
    <xf numFmtId="0" fontId="23" fillId="18" borderId="0" xfId="0" applyFont="1" applyFill="1" applyBorder="1" applyAlignment="1">
      <alignment horizontal="left" vertical="center" wrapText="1"/>
    </xf>
    <xf numFmtId="0" fontId="23" fillId="18" borderId="0" xfId="0" applyFont="1" applyFill="1" applyBorder="1" applyAlignment="1">
      <alignment horizontal="left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 wrapText="1"/>
    </xf>
    <xf numFmtId="0" fontId="30" fillId="18" borderId="0" xfId="0" applyFont="1" applyFill="1" applyBorder="1" applyAlignment="1">
      <alignment horizontal="left" vertical="center" wrapText="1"/>
    </xf>
    <xf numFmtId="0" fontId="0" fillId="18" borderId="0" xfId="0" applyFont="1" applyFill="1" applyBorder="1" applyAlignment="1">
      <alignment vertical="center" wrapText="1"/>
    </xf>
    <xf numFmtId="0" fontId="23" fillId="0" borderId="0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left" vertical="center" wrapText="1"/>
    </xf>
    <xf numFmtId="1" fontId="55" fillId="0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/>
    </xf>
    <xf numFmtId="0" fontId="23" fillId="18" borderId="0" xfId="5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/>
    </xf>
    <xf numFmtId="0" fontId="30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right" vertical="center" wrapText="1"/>
    </xf>
    <xf numFmtId="0" fontId="23" fillId="0" borderId="10" xfId="0" applyFont="1" applyFill="1" applyBorder="1" applyAlignment="1">
      <alignment horizontal="left" vertical="center"/>
    </xf>
    <xf numFmtId="0" fontId="31" fillId="0" borderId="10" xfId="0" applyFont="1" applyFill="1" applyBorder="1" applyAlignment="1">
      <alignment horizontal="center" vertical="center"/>
    </xf>
    <xf numFmtId="0" fontId="31" fillId="18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left" vertical="center" wrapText="1"/>
    </xf>
    <xf numFmtId="0" fontId="36" fillId="18" borderId="10" xfId="0" applyFont="1" applyFill="1" applyBorder="1" applyAlignment="1">
      <alignment horizontal="center" vertical="center"/>
    </xf>
    <xf numFmtId="0" fontId="23" fillId="0" borderId="10" xfId="53" applyFont="1" applyFill="1" applyBorder="1" applyAlignment="1">
      <alignment horizontal="left" vertical="center" wrapText="1"/>
      <protection/>
    </xf>
    <xf numFmtId="0" fontId="23" fillId="18" borderId="10" xfId="0" applyFont="1" applyFill="1" applyBorder="1" applyAlignment="1">
      <alignment horizontal="left" vertical="center" wrapText="1"/>
    </xf>
    <xf numFmtId="0" fontId="30" fillId="18" borderId="10" xfId="0" applyFont="1" applyFill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18" borderId="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31" fillId="18" borderId="10" xfId="0" applyFont="1" applyFill="1" applyBorder="1" applyAlignment="1">
      <alignment horizontal="center" vertical="center" wrapText="1"/>
    </xf>
    <xf numFmtId="0" fontId="58" fillId="18" borderId="10" xfId="0" applyFont="1" applyFill="1" applyBorder="1" applyAlignment="1">
      <alignment horizontal="center" vertical="center" wrapText="1"/>
    </xf>
    <xf numFmtId="0" fontId="59" fillId="18" borderId="10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18" borderId="0" xfId="0" applyFont="1" applyFill="1" applyBorder="1" applyAlignment="1">
      <alignment horizontal="left" vertical="center"/>
    </xf>
    <xf numFmtId="2" fontId="34" fillId="0" borderId="0" xfId="0" applyNumberFormat="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justify" vertical="top" wrapText="1"/>
    </xf>
    <xf numFmtId="0" fontId="24" fillId="0" borderId="0" xfId="0" applyFont="1" applyBorder="1" applyAlignment="1">
      <alignment horizontal="center"/>
    </xf>
    <xf numFmtId="172" fontId="2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3" fillId="0" borderId="10" xfId="53" applyFont="1" applyFill="1" applyBorder="1" applyAlignment="1">
      <alignment horizontal="left" vertical="center"/>
      <protection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172" fontId="23" fillId="18" borderId="0" xfId="0" applyNumberFormat="1" applyFont="1" applyFill="1" applyBorder="1" applyAlignment="1">
      <alignment horizontal="center" vertical="center"/>
    </xf>
    <xf numFmtId="0" fontId="0" fillId="18" borderId="0" xfId="0" applyFont="1" applyFill="1" applyBorder="1" applyAlignment="1">
      <alignment/>
    </xf>
    <xf numFmtId="1" fontId="23" fillId="18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right" vertical="top"/>
    </xf>
    <xf numFmtId="0" fontId="44" fillId="0" borderId="0" xfId="0" applyFont="1" applyBorder="1" applyAlignment="1">
      <alignment horizontal="justify" vertical="top"/>
    </xf>
    <xf numFmtId="0" fontId="44" fillId="0" borderId="0" xfId="0" applyFont="1" applyFill="1" applyBorder="1" applyAlignment="1">
      <alignment horizontal="justify" vertical="top" wrapText="1"/>
    </xf>
    <xf numFmtId="0" fontId="23" fillId="18" borderId="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5" fillId="18" borderId="17" xfId="0" applyFont="1" applyFill="1" applyBorder="1" applyAlignment="1">
      <alignment horizontal="center" vertical="center" wrapText="1"/>
    </xf>
    <xf numFmtId="0" fontId="25" fillId="18" borderId="10" xfId="0" applyFont="1" applyFill="1" applyBorder="1" applyAlignment="1">
      <alignment horizontal="center" vertical="center" wrapText="1"/>
    </xf>
    <xf numFmtId="172" fontId="26" fillId="0" borderId="17" xfId="0" applyNumberFormat="1" applyFont="1" applyFill="1" applyBorder="1" applyAlignment="1">
      <alignment horizontal="center" vertical="center" wrapText="1"/>
    </xf>
    <xf numFmtId="172" fontId="26" fillId="0" borderId="10" xfId="0" applyNumberFormat="1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/>
    </xf>
    <xf numFmtId="0" fontId="27" fillId="18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14" fillId="18" borderId="17" xfId="0" applyNumberFormat="1" applyFont="1" applyFill="1" applyBorder="1" applyAlignment="1">
      <alignment horizontal="center" vertical="center" wrapText="1"/>
    </xf>
    <xf numFmtId="0" fontId="14" fillId="18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23" fillId="18" borderId="22" xfId="0" applyFont="1" applyFill="1" applyBorder="1" applyAlignment="1">
      <alignment horizontal="center" vertical="center" wrapText="1"/>
    </xf>
    <xf numFmtId="0" fontId="23" fillId="18" borderId="12" xfId="0" applyFont="1" applyFill="1" applyBorder="1" applyAlignment="1">
      <alignment horizontal="center" vertical="center" wrapText="1"/>
    </xf>
    <xf numFmtId="0" fontId="14" fillId="18" borderId="18" xfId="0" applyNumberFormat="1" applyFont="1" applyFill="1" applyBorder="1" applyAlignment="1">
      <alignment horizontal="center" vertical="center" wrapText="1"/>
    </xf>
    <xf numFmtId="0" fontId="14" fillId="18" borderId="1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left" vertical="top" wrapText="1"/>
    </xf>
    <xf numFmtId="0" fontId="24" fillId="0" borderId="0" xfId="0" applyFont="1" applyFill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" fontId="46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41"/>
  <sheetViews>
    <sheetView tabSelected="1" view="pageBreakPreview" zoomScaleSheetLayoutView="100" zoomScalePageLayoutView="0" workbookViewId="0" topLeftCell="A1">
      <selection activeCell="W7" sqref="W7"/>
    </sheetView>
  </sheetViews>
  <sheetFormatPr defaultColWidth="9.00390625" defaultRowHeight="19.5" customHeight="1" outlineLevelCol="1"/>
  <cols>
    <col min="1" max="1" width="55.625" style="103" customWidth="1"/>
    <col min="2" max="2" width="11.25390625" style="67" customWidth="1"/>
    <col min="3" max="3" width="11.25390625" style="68" customWidth="1"/>
    <col min="4" max="4" width="11.75390625" style="51" customWidth="1"/>
    <col min="5" max="5" width="11.25390625" style="55" customWidth="1"/>
    <col min="6" max="7" width="11.25390625" style="70" customWidth="1"/>
    <col min="8" max="8" width="11.25390625" style="317" customWidth="1"/>
    <col min="9" max="9" width="10.375" style="314" customWidth="1"/>
    <col min="10" max="10" width="7.375" style="80" customWidth="1"/>
    <col min="11" max="11" width="9.125" style="80" hidden="1" customWidth="1" outlineLevel="1"/>
    <col min="12" max="12" width="10.25390625" style="80" hidden="1" customWidth="1" outlineLevel="1"/>
    <col min="13" max="19" width="9.125" style="80" hidden="1" customWidth="1" outlineLevel="1"/>
    <col min="20" max="20" width="9.125" style="80" customWidth="1" collapsed="1"/>
    <col min="21" max="16384" width="9.125" style="80" customWidth="1"/>
  </cols>
  <sheetData>
    <row r="1" spans="1:9" ht="50.25" customHeight="1">
      <c r="A1" s="718" t="s">
        <v>273</v>
      </c>
      <c r="B1" s="718"/>
      <c r="C1" s="718"/>
      <c r="D1" s="718"/>
      <c r="E1" s="718"/>
      <c r="F1" s="718"/>
      <c r="G1" s="718"/>
      <c r="H1" s="718"/>
      <c r="I1" s="718"/>
    </row>
    <row r="2" spans="1:9" ht="30" customHeight="1">
      <c r="A2" s="719" t="s">
        <v>150</v>
      </c>
      <c r="B2" s="719"/>
      <c r="C2" s="719"/>
      <c r="D2" s="719"/>
      <c r="E2" s="719"/>
      <c r="F2" s="719"/>
      <c r="G2" s="719"/>
      <c r="H2" s="719"/>
      <c r="I2" s="719"/>
    </row>
    <row r="3" spans="1:9" ht="30" customHeight="1">
      <c r="A3" s="719" t="s">
        <v>571</v>
      </c>
      <c r="B3" s="719"/>
      <c r="C3" s="719"/>
      <c r="D3" s="719"/>
      <c r="E3" s="719"/>
      <c r="F3" s="719"/>
      <c r="G3" s="719"/>
      <c r="H3" s="719"/>
      <c r="I3" s="719"/>
    </row>
    <row r="4" spans="1:9" ht="57" customHeight="1">
      <c r="A4" s="720" t="s">
        <v>151</v>
      </c>
      <c r="B4" s="720"/>
      <c r="C4" s="720"/>
      <c r="D4" s="720"/>
      <c r="E4" s="720"/>
      <c r="F4" s="720"/>
      <c r="G4" s="720"/>
      <c r="H4" s="720"/>
      <c r="I4" s="720"/>
    </row>
    <row r="5" spans="1:10" ht="30" customHeight="1">
      <c r="A5" s="706" t="s">
        <v>398</v>
      </c>
      <c r="B5" s="706"/>
      <c r="C5" s="706"/>
      <c r="D5" s="706"/>
      <c r="E5" s="706"/>
      <c r="F5" s="706"/>
      <c r="G5" s="706"/>
      <c r="H5" s="707"/>
      <c r="I5" s="706"/>
      <c r="J5" s="8"/>
    </row>
    <row r="6" spans="1:11" ht="30" customHeight="1">
      <c r="A6" s="706" t="s">
        <v>110</v>
      </c>
      <c r="B6" s="706"/>
      <c r="C6" s="706"/>
      <c r="D6" s="706"/>
      <c r="E6" s="706"/>
      <c r="F6" s="706"/>
      <c r="G6" s="706"/>
      <c r="H6" s="707"/>
      <c r="I6" s="706"/>
      <c r="J6" s="8"/>
      <c r="K6" s="8"/>
    </row>
    <row r="7" spans="1:11" ht="30" customHeight="1">
      <c r="A7" s="693" t="s">
        <v>1</v>
      </c>
      <c r="B7" s="676" t="s">
        <v>2</v>
      </c>
      <c r="C7" s="676" t="s">
        <v>3</v>
      </c>
      <c r="D7" s="676" t="s">
        <v>4</v>
      </c>
      <c r="E7" s="676"/>
      <c r="F7" s="676"/>
      <c r="G7" s="676"/>
      <c r="H7" s="676"/>
      <c r="I7" s="682" t="s">
        <v>201</v>
      </c>
      <c r="J7" s="9"/>
      <c r="K7" s="80" t="s">
        <v>0</v>
      </c>
    </row>
    <row r="8" spans="1:25" ht="30" customHeight="1">
      <c r="A8" s="693"/>
      <c r="B8" s="676"/>
      <c r="C8" s="676"/>
      <c r="D8" s="6" t="s">
        <v>5</v>
      </c>
      <c r="E8" s="62" t="s">
        <v>6</v>
      </c>
      <c r="F8" s="62" t="s">
        <v>7</v>
      </c>
      <c r="G8" s="62" t="s">
        <v>8</v>
      </c>
      <c r="H8" s="69" t="s">
        <v>9</v>
      </c>
      <c r="I8" s="682"/>
      <c r="J8" s="9"/>
      <c r="K8" s="27" t="s">
        <v>34</v>
      </c>
      <c r="L8" s="82">
        <f>D32+D79</f>
        <v>60</v>
      </c>
      <c r="N8" s="152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spans="1:25" ht="30" customHeight="1">
      <c r="A9" s="690" t="s">
        <v>10</v>
      </c>
      <c r="B9" s="690"/>
      <c r="C9" s="690"/>
      <c r="D9" s="265">
        <f>60+205+D27+D30+D31</f>
        <v>655</v>
      </c>
      <c r="E9" s="71">
        <f>E10+E13+E27+E31+E32+E34+E30</f>
        <v>15.899999999999999</v>
      </c>
      <c r="F9" s="71">
        <f>F10+F13+F27+F31+F32+F34</f>
        <v>8.08</v>
      </c>
      <c r="G9" s="71">
        <f>G10+G13+G27+G31+G32+G34</f>
        <v>107.30000000000001</v>
      </c>
      <c r="H9" s="265">
        <f>H10+H13+H27+H31+H32+H34</f>
        <v>544.34</v>
      </c>
      <c r="I9" s="293"/>
      <c r="J9" s="9"/>
      <c r="K9" s="28" t="s">
        <v>35</v>
      </c>
      <c r="L9" s="82">
        <f>+D34+B11+D81</f>
        <v>110</v>
      </c>
      <c r="N9" s="152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</row>
    <row r="10" spans="1:25" ht="30" customHeight="1">
      <c r="A10" s="675" t="s">
        <v>254</v>
      </c>
      <c r="B10" s="675"/>
      <c r="C10" s="675"/>
      <c r="D10" s="145" t="s">
        <v>566</v>
      </c>
      <c r="E10" s="2">
        <v>1.9</v>
      </c>
      <c r="F10" s="2">
        <v>0.5</v>
      </c>
      <c r="G10" s="2">
        <v>27.7</v>
      </c>
      <c r="H10" s="3">
        <f>E10*4+F10*9+G10*4</f>
        <v>122.89999999999999</v>
      </c>
      <c r="I10" s="320" t="s">
        <v>255</v>
      </c>
      <c r="J10" s="9"/>
      <c r="K10" s="28" t="s">
        <v>65</v>
      </c>
      <c r="L10" s="81">
        <f>C63</f>
        <v>4.5</v>
      </c>
      <c r="N10" s="151"/>
      <c r="O10" s="91"/>
      <c r="P10" s="91"/>
      <c r="Q10" s="714"/>
      <c r="R10" s="714"/>
      <c r="S10" s="714"/>
      <c r="T10" s="334"/>
      <c r="U10" s="335"/>
      <c r="V10" s="335"/>
      <c r="W10" s="335"/>
      <c r="X10" s="335"/>
      <c r="Y10" s="336"/>
    </row>
    <row r="11" spans="1:25" ht="30" customHeight="1">
      <c r="A11" s="100" t="s">
        <v>393</v>
      </c>
      <c r="B11" s="219">
        <v>30</v>
      </c>
      <c r="C11" s="219">
        <v>30</v>
      </c>
      <c r="D11" s="1"/>
      <c r="E11" s="2"/>
      <c r="F11" s="2"/>
      <c r="G11" s="2"/>
      <c r="H11" s="3"/>
      <c r="I11" s="325"/>
      <c r="J11" s="9"/>
      <c r="K11" s="29" t="s">
        <v>66</v>
      </c>
      <c r="L11" s="82">
        <f>+C14</f>
        <v>30</v>
      </c>
      <c r="N11" s="152"/>
      <c r="O11" s="91"/>
      <c r="P11" s="91"/>
      <c r="Q11" s="139"/>
      <c r="R11" s="78"/>
      <c r="S11" s="216"/>
      <c r="T11" s="337"/>
      <c r="U11" s="337"/>
      <c r="V11" s="337"/>
      <c r="W11" s="337"/>
      <c r="X11" s="337"/>
      <c r="Y11" s="338"/>
    </row>
    <row r="12" spans="1:25" ht="38.25">
      <c r="A12" s="59" t="s">
        <v>430</v>
      </c>
      <c r="B12" s="219">
        <v>30.2</v>
      </c>
      <c r="C12" s="219">
        <v>30</v>
      </c>
      <c r="D12" s="1"/>
      <c r="E12" s="2"/>
      <c r="F12" s="2"/>
      <c r="G12" s="2"/>
      <c r="H12" s="3"/>
      <c r="I12" s="325"/>
      <c r="J12" s="9"/>
      <c r="K12" s="29" t="s">
        <v>59</v>
      </c>
      <c r="L12" s="82"/>
      <c r="N12" s="152"/>
      <c r="O12" s="91"/>
      <c r="P12" s="91"/>
      <c r="Q12" s="139"/>
      <c r="R12" s="78"/>
      <c r="S12" s="216"/>
      <c r="T12" s="339"/>
      <c r="U12" s="339"/>
      <c r="V12" s="339"/>
      <c r="W12" s="339"/>
      <c r="X12" s="339"/>
      <c r="Y12" s="338"/>
    </row>
    <row r="13" spans="1:25" ht="30" customHeight="1">
      <c r="A13" s="675" t="s">
        <v>483</v>
      </c>
      <c r="B13" s="675"/>
      <c r="C13" s="675"/>
      <c r="D13" s="244" t="s">
        <v>93</v>
      </c>
      <c r="E13" s="2">
        <v>6.4</v>
      </c>
      <c r="F13" s="2">
        <v>7.2</v>
      </c>
      <c r="G13" s="2">
        <v>25.5</v>
      </c>
      <c r="H13" s="3">
        <f>E13*4+F13*9+G13*4</f>
        <v>192.4</v>
      </c>
      <c r="I13" s="320" t="s">
        <v>277</v>
      </c>
      <c r="J13" s="9"/>
      <c r="K13" s="28" t="s">
        <v>22</v>
      </c>
      <c r="L13" s="82">
        <f>C46+C67</f>
        <v>229</v>
      </c>
      <c r="N13" s="151"/>
      <c r="O13" s="91"/>
      <c r="P13" s="91"/>
      <c r="Q13" s="714"/>
      <c r="R13" s="714"/>
      <c r="S13" s="714"/>
      <c r="T13" s="334"/>
      <c r="U13" s="335"/>
      <c r="V13" s="335"/>
      <c r="W13" s="335"/>
      <c r="X13" s="335"/>
      <c r="Y13" s="336"/>
    </row>
    <row r="14" spans="1:25" ht="30" customHeight="1">
      <c r="A14" s="100" t="s">
        <v>57</v>
      </c>
      <c r="B14" s="133">
        <v>30</v>
      </c>
      <c r="C14" s="133">
        <v>30</v>
      </c>
      <c r="D14" s="47"/>
      <c r="E14" s="50"/>
      <c r="F14" s="50"/>
      <c r="G14" s="50"/>
      <c r="H14" s="50"/>
      <c r="I14" s="468"/>
      <c r="J14" s="9"/>
      <c r="K14" s="28" t="s">
        <v>24</v>
      </c>
      <c r="L14" s="82">
        <f>++C38+C40+C54+C51+C53+C50+C60</f>
        <v>165</v>
      </c>
      <c r="N14" s="152"/>
      <c r="O14" s="91"/>
      <c r="P14" s="91"/>
      <c r="Q14" s="340"/>
      <c r="R14" s="341"/>
      <c r="S14" s="74"/>
      <c r="T14" s="337"/>
      <c r="U14" s="187"/>
      <c r="V14" s="187"/>
      <c r="W14" s="187"/>
      <c r="X14" s="187"/>
      <c r="Y14" s="336"/>
    </row>
    <row r="15" spans="1:25" s="83" customFormat="1" ht="30" customHeight="1">
      <c r="A15" s="100" t="s">
        <v>63</v>
      </c>
      <c r="B15" s="47">
        <v>190</v>
      </c>
      <c r="C15" s="47">
        <v>190</v>
      </c>
      <c r="D15" s="47"/>
      <c r="E15" s="2"/>
      <c r="F15" s="2"/>
      <c r="G15" s="2"/>
      <c r="H15" s="3"/>
      <c r="I15" s="320"/>
      <c r="J15" s="9"/>
      <c r="K15" s="28" t="s">
        <v>21</v>
      </c>
      <c r="L15" s="80">
        <f>D31+C74</f>
        <v>174</v>
      </c>
      <c r="N15" s="151"/>
      <c r="O15" s="93"/>
      <c r="P15" s="93"/>
      <c r="Q15" s="340"/>
      <c r="R15" s="341"/>
      <c r="S15" s="79"/>
      <c r="T15" s="337"/>
      <c r="U15" s="187"/>
      <c r="V15" s="187"/>
      <c r="W15" s="187"/>
      <c r="X15" s="337"/>
      <c r="Y15" s="338"/>
    </row>
    <row r="16" spans="1:25" ht="30" customHeight="1">
      <c r="A16" s="100" t="s">
        <v>39</v>
      </c>
      <c r="B16" s="47">
        <v>3</v>
      </c>
      <c r="C16" s="47">
        <v>3</v>
      </c>
      <c r="D16" s="47"/>
      <c r="E16" s="50"/>
      <c r="F16" s="50"/>
      <c r="G16" s="50"/>
      <c r="H16" s="47"/>
      <c r="I16" s="472"/>
      <c r="J16" s="9"/>
      <c r="K16" s="28" t="s">
        <v>25</v>
      </c>
      <c r="L16" s="82"/>
      <c r="N16" s="151"/>
      <c r="O16" s="91"/>
      <c r="P16" s="91"/>
      <c r="Q16" s="342"/>
      <c r="R16" s="341"/>
      <c r="S16" s="79"/>
      <c r="T16" s="343"/>
      <c r="U16" s="344"/>
      <c r="V16" s="344"/>
      <c r="W16" s="344"/>
      <c r="X16" s="343"/>
      <c r="Y16" s="345"/>
    </row>
    <row r="17" spans="1:25" ht="30" customHeight="1">
      <c r="A17" s="20" t="s">
        <v>219</v>
      </c>
      <c r="B17" s="56">
        <v>0.8</v>
      </c>
      <c r="C17" s="56">
        <v>0.8</v>
      </c>
      <c r="D17" s="453"/>
      <c r="E17" s="38"/>
      <c r="F17" s="38"/>
      <c r="G17" s="38"/>
      <c r="H17" s="57"/>
      <c r="I17" s="38"/>
      <c r="J17" s="9"/>
      <c r="K17" s="28" t="s">
        <v>61</v>
      </c>
      <c r="N17" s="152"/>
      <c r="O17" s="91"/>
      <c r="P17" s="91"/>
      <c r="Q17" s="346"/>
      <c r="R17" s="216"/>
      <c r="S17" s="216"/>
      <c r="T17" s="337"/>
      <c r="U17" s="187"/>
      <c r="V17" s="187"/>
      <c r="W17" s="187"/>
      <c r="X17" s="337"/>
      <c r="Y17" s="338"/>
    </row>
    <row r="18" spans="1:25" ht="30" customHeight="1">
      <c r="A18" s="100" t="s">
        <v>70</v>
      </c>
      <c r="B18" s="47">
        <v>5</v>
      </c>
      <c r="C18" s="47">
        <v>5</v>
      </c>
      <c r="D18" s="47"/>
      <c r="E18" s="50"/>
      <c r="F18" s="50"/>
      <c r="G18" s="50"/>
      <c r="H18" s="47"/>
      <c r="I18" s="472"/>
      <c r="J18" s="9"/>
      <c r="K18" s="28" t="s">
        <v>20</v>
      </c>
      <c r="L18" s="82">
        <f>C29+C77+C16</f>
        <v>33</v>
      </c>
      <c r="N18" s="152"/>
      <c r="O18" s="91"/>
      <c r="P18" s="91"/>
      <c r="Q18" s="213"/>
      <c r="R18" s="216"/>
      <c r="S18" s="78"/>
      <c r="T18" s="337"/>
      <c r="U18" s="187"/>
      <c r="V18" s="187"/>
      <c r="W18" s="187"/>
      <c r="X18" s="337"/>
      <c r="Y18" s="338"/>
    </row>
    <row r="19" spans="1:25" ht="30" customHeight="1">
      <c r="A19" s="692" t="s">
        <v>95</v>
      </c>
      <c r="B19" s="692"/>
      <c r="C19" s="692"/>
      <c r="D19" s="692"/>
      <c r="E19" s="692"/>
      <c r="F19" s="692"/>
      <c r="G19" s="692"/>
      <c r="H19" s="692"/>
      <c r="I19" s="692"/>
      <c r="J19" s="9"/>
      <c r="K19" s="28" t="s">
        <v>26</v>
      </c>
      <c r="L19" s="82">
        <f>C12</f>
        <v>30</v>
      </c>
      <c r="N19" s="151"/>
      <c r="O19" s="91"/>
      <c r="P19" s="91"/>
      <c r="Q19" s="200"/>
      <c r="R19" s="135"/>
      <c r="S19" s="199"/>
      <c r="T19" s="337"/>
      <c r="U19" s="187"/>
      <c r="V19" s="187"/>
      <c r="W19" s="187"/>
      <c r="X19" s="337"/>
      <c r="Y19" s="338"/>
    </row>
    <row r="20" spans="1:25" ht="30" customHeight="1">
      <c r="A20" s="671" t="s">
        <v>485</v>
      </c>
      <c r="B20" s="671"/>
      <c r="C20" s="671"/>
      <c r="D20" s="1" t="s">
        <v>93</v>
      </c>
      <c r="E20" s="2">
        <v>5.9</v>
      </c>
      <c r="F20" s="2">
        <v>7.9</v>
      </c>
      <c r="G20" s="2">
        <v>25.5</v>
      </c>
      <c r="H20" s="3">
        <f>E20*4+F20*9+G20*4</f>
        <v>196.70000000000002</v>
      </c>
      <c r="I20" s="297" t="s">
        <v>277</v>
      </c>
      <c r="J20" s="9"/>
      <c r="K20" s="27" t="s">
        <v>79</v>
      </c>
      <c r="N20" s="152"/>
      <c r="O20" s="91"/>
      <c r="P20" s="91"/>
      <c r="Q20" s="215"/>
      <c r="R20" s="74"/>
      <c r="S20" s="74"/>
      <c r="T20" s="337"/>
      <c r="U20" s="190"/>
      <c r="V20" s="187"/>
      <c r="W20" s="187"/>
      <c r="X20" s="337"/>
      <c r="Y20" s="338"/>
    </row>
    <row r="21" spans="1:25" ht="30" customHeight="1">
      <c r="A21" s="25" t="s">
        <v>484</v>
      </c>
      <c r="B21" s="22">
        <v>25</v>
      </c>
      <c r="C21" s="22">
        <v>25</v>
      </c>
      <c r="D21" s="1"/>
      <c r="E21" s="2"/>
      <c r="F21" s="2"/>
      <c r="G21" s="2"/>
      <c r="H21" s="2"/>
      <c r="I21" s="320"/>
      <c r="J21" s="9"/>
      <c r="K21" s="28" t="s">
        <v>27</v>
      </c>
      <c r="L21" s="81">
        <f>C28</f>
        <v>2</v>
      </c>
      <c r="N21" s="151"/>
      <c r="O21" s="91"/>
      <c r="P21" s="91"/>
      <c r="Q21" s="347"/>
      <c r="R21" s="131"/>
      <c r="S21" s="131"/>
      <c r="T21" s="337"/>
      <c r="U21" s="190"/>
      <c r="V21" s="187"/>
      <c r="W21" s="187"/>
      <c r="X21" s="337"/>
      <c r="Y21" s="338"/>
    </row>
    <row r="22" spans="1:25" ht="30" customHeight="1">
      <c r="A22" s="25" t="s">
        <v>60</v>
      </c>
      <c r="B22" s="22">
        <v>72</v>
      </c>
      <c r="C22" s="22">
        <v>72</v>
      </c>
      <c r="D22" s="1"/>
      <c r="E22" s="2"/>
      <c r="F22" s="2"/>
      <c r="G22" s="2"/>
      <c r="H22" s="2"/>
      <c r="I22" s="320"/>
      <c r="J22" s="9"/>
      <c r="K22" s="27" t="s">
        <v>199</v>
      </c>
      <c r="L22" s="262"/>
      <c r="N22" s="151"/>
      <c r="O22" s="91"/>
      <c r="P22" s="91"/>
      <c r="Q22" s="200"/>
      <c r="R22" s="135"/>
      <c r="S22" s="199"/>
      <c r="T22" s="337"/>
      <c r="U22" s="187"/>
      <c r="V22" s="187"/>
      <c r="W22" s="187"/>
      <c r="X22" s="337"/>
      <c r="Y22" s="338"/>
    </row>
    <row r="23" spans="1:25" ht="30" customHeight="1">
      <c r="A23" s="100" t="s">
        <v>63</v>
      </c>
      <c r="B23" s="22">
        <v>110</v>
      </c>
      <c r="C23" s="22">
        <v>110</v>
      </c>
      <c r="D23" s="1"/>
      <c r="E23" s="2"/>
      <c r="F23" s="2"/>
      <c r="G23" s="2"/>
      <c r="H23" s="1"/>
      <c r="I23" s="297"/>
      <c r="J23" s="10"/>
      <c r="K23" s="28" t="s">
        <v>67</v>
      </c>
      <c r="L23" s="82"/>
      <c r="N23" s="15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</row>
    <row r="24" spans="1:25" ht="30" customHeight="1">
      <c r="A24" s="25" t="s">
        <v>39</v>
      </c>
      <c r="B24" s="22">
        <v>3</v>
      </c>
      <c r="C24" s="22">
        <v>3</v>
      </c>
      <c r="D24" s="1"/>
      <c r="E24" s="2"/>
      <c r="F24" s="2"/>
      <c r="G24" s="2"/>
      <c r="H24" s="1"/>
      <c r="I24" s="297"/>
      <c r="J24" s="10"/>
      <c r="K24" s="27" t="s">
        <v>200</v>
      </c>
      <c r="L24" s="263"/>
      <c r="N24" s="15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</row>
    <row r="25" spans="1:25" ht="30" customHeight="1">
      <c r="A25" s="20" t="s">
        <v>219</v>
      </c>
      <c r="B25" s="56">
        <v>0.8</v>
      </c>
      <c r="C25" s="56">
        <v>0.8</v>
      </c>
      <c r="D25" s="453"/>
      <c r="E25" s="38"/>
      <c r="F25" s="38"/>
      <c r="G25" s="38"/>
      <c r="H25" s="57"/>
      <c r="I25" s="38"/>
      <c r="J25" s="10"/>
      <c r="K25" s="27" t="s">
        <v>62</v>
      </c>
      <c r="L25" s="82">
        <f>C45</f>
        <v>14</v>
      </c>
      <c r="N25" s="15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</row>
    <row r="26" spans="1:25" ht="30" customHeight="1">
      <c r="A26" s="25" t="s">
        <v>70</v>
      </c>
      <c r="B26" s="22">
        <v>5</v>
      </c>
      <c r="C26" s="22">
        <v>5</v>
      </c>
      <c r="D26" s="1"/>
      <c r="E26" s="2"/>
      <c r="F26" s="2"/>
      <c r="G26" s="2"/>
      <c r="H26" s="1"/>
      <c r="I26" s="297"/>
      <c r="J26" s="10"/>
      <c r="K26" s="28" t="s">
        <v>28</v>
      </c>
      <c r="L26" s="82">
        <f>C58</f>
        <v>120</v>
      </c>
      <c r="N26" s="152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</row>
    <row r="27" spans="1:25" ht="30" customHeight="1">
      <c r="A27" s="674" t="s">
        <v>269</v>
      </c>
      <c r="B27" s="674"/>
      <c r="C27" s="674"/>
      <c r="D27" s="1">
        <v>200</v>
      </c>
      <c r="E27" s="2">
        <v>0.2</v>
      </c>
      <c r="F27" s="2">
        <v>0</v>
      </c>
      <c r="G27" s="2">
        <v>15</v>
      </c>
      <c r="H27" s="3">
        <f>G27*4+F27*9+E27*4</f>
        <v>60.8</v>
      </c>
      <c r="I27" s="294" t="s">
        <v>270</v>
      </c>
      <c r="J27" s="10"/>
      <c r="K27" s="30" t="s">
        <v>29</v>
      </c>
      <c r="L27" s="82">
        <f>C15+C71</f>
        <v>219</v>
      </c>
      <c r="N27" s="154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</row>
    <row r="28" spans="1:25" ht="30" customHeight="1">
      <c r="A28" s="53" t="s">
        <v>113</v>
      </c>
      <c r="B28" s="57">
        <v>2</v>
      </c>
      <c r="C28" s="57">
        <v>2</v>
      </c>
      <c r="D28" s="47"/>
      <c r="E28" s="231"/>
      <c r="F28" s="231"/>
      <c r="G28" s="35"/>
      <c r="H28" s="26"/>
      <c r="I28" s="297"/>
      <c r="J28" s="10"/>
      <c r="K28" s="72" t="s">
        <v>85</v>
      </c>
      <c r="L28" s="84"/>
      <c r="N28" s="33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</row>
    <row r="29" spans="1:25" ht="30" customHeight="1">
      <c r="A29" s="89" t="s">
        <v>94</v>
      </c>
      <c r="B29" s="58">
        <v>15</v>
      </c>
      <c r="C29" s="58">
        <v>15</v>
      </c>
      <c r="D29" s="47"/>
      <c r="E29" s="47"/>
      <c r="F29" s="47"/>
      <c r="G29" s="47"/>
      <c r="H29" s="46"/>
      <c r="I29" s="296"/>
      <c r="J29" s="10"/>
      <c r="K29" s="27" t="s">
        <v>30</v>
      </c>
      <c r="N29" s="152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</row>
    <row r="30" spans="1:25" ht="30" customHeight="1">
      <c r="A30" s="674" t="s">
        <v>618</v>
      </c>
      <c r="B30" s="674"/>
      <c r="C30" s="674"/>
      <c r="D30" s="632">
        <v>40</v>
      </c>
      <c r="E30" s="2">
        <v>5.1</v>
      </c>
      <c r="F30" s="2">
        <v>4.05</v>
      </c>
      <c r="G30" s="2">
        <v>0.25</v>
      </c>
      <c r="H30" s="3">
        <f>E30*4+F30*9+G30*4</f>
        <v>57.849999999999994</v>
      </c>
      <c r="I30" s="302" t="s">
        <v>296</v>
      </c>
      <c r="K30" s="27" t="s">
        <v>31</v>
      </c>
      <c r="L30" s="82">
        <f>C56</f>
        <v>5</v>
      </c>
      <c r="M30" s="95"/>
      <c r="N30" s="152"/>
      <c r="O30" s="85"/>
      <c r="P30" s="85"/>
      <c r="Q30" s="85"/>
      <c r="R30" s="85"/>
      <c r="S30" s="85"/>
      <c r="T30" s="85"/>
      <c r="U30" s="85"/>
      <c r="V30" s="91"/>
      <c r="W30" s="91"/>
      <c r="X30" s="91"/>
      <c r="Y30" s="91"/>
    </row>
    <row r="31" spans="1:25" ht="30" customHeight="1">
      <c r="A31" s="683" t="s">
        <v>239</v>
      </c>
      <c r="B31" s="683"/>
      <c r="C31" s="683"/>
      <c r="D31" s="4">
        <v>150</v>
      </c>
      <c r="E31" s="222">
        <v>0.6</v>
      </c>
      <c r="F31" s="222">
        <v>0</v>
      </c>
      <c r="G31" s="222">
        <v>21.6</v>
      </c>
      <c r="H31" s="3">
        <f>E31*4+F31*9+G31*4</f>
        <v>88.80000000000001</v>
      </c>
      <c r="I31" s="294" t="s">
        <v>224</v>
      </c>
      <c r="K31" s="28" t="s">
        <v>68</v>
      </c>
      <c r="L31" s="82"/>
      <c r="M31" s="95"/>
      <c r="N31" s="152"/>
      <c r="O31" s="85"/>
      <c r="P31" s="85"/>
      <c r="Q31" s="85"/>
      <c r="R31" s="85"/>
      <c r="S31" s="85"/>
      <c r="T31" s="85"/>
      <c r="U31" s="85"/>
      <c r="V31" s="91"/>
      <c r="W31" s="91"/>
      <c r="X31" s="91"/>
      <c r="Y31" s="91"/>
    </row>
    <row r="32" spans="1:25" ht="30" customHeight="1">
      <c r="A32" s="675" t="s">
        <v>34</v>
      </c>
      <c r="B32" s="675"/>
      <c r="C32" s="675"/>
      <c r="D32" s="1">
        <v>20</v>
      </c>
      <c r="E32" s="2">
        <v>0.7</v>
      </c>
      <c r="F32" s="2">
        <v>0.1</v>
      </c>
      <c r="G32" s="2">
        <v>9.4</v>
      </c>
      <c r="H32" s="3">
        <v>40.52</v>
      </c>
      <c r="I32" s="294"/>
      <c r="K32" s="27" t="s">
        <v>32</v>
      </c>
      <c r="L32" s="82">
        <f>+C55+C65++B18+C72</f>
        <v>22</v>
      </c>
      <c r="M32" s="95"/>
      <c r="N32" s="154"/>
      <c r="O32" s="85"/>
      <c r="P32" s="85"/>
      <c r="Q32" s="85"/>
      <c r="R32" s="85"/>
      <c r="S32" s="85"/>
      <c r="T32" s="85"/>
      <c r="U32" s="85"/>
      <c r="V32" s="91"/>
      <c r="W32" s="91"/>
      <c r="X32" s="91"/>
      <c r="Y32" s="91"/>
    </row>
    <row r="33" spans="1:25" ht="30" customHeight="1">
      <c r="A33" s="675" t="s">
        <v>145</v>
      </c>
      <c r="B33" s="675"/>
      <c r="C33" s="675"/>
      <c r="D33" s="1">
        <v>20</v>
      </c>
      <c r="E33" s="2"/>
      <c r="F33" s="2"/>
      <c r="G33" s="2"/>
      <c r="H33" s="3"/>
      <c r="I33" s="294"/>
      <c r="K33" s="27" t="s">
        <v>23</v>
      </c>
      <c r="L33" s="82">
        <f>+C41+C64</f>
        <v>11</v>
      </c>
      <c r="M33" s="95"/>
      <c r="N33" s="151"/>
      <c r="O33" s="85"/>
      <c r="P33" s="85"/>
      <c r="Q33" s="85"/>
      <c r="R33" s="85"/>
      <c r="S33" s="85"/>
      <c r="T33" s="85"/>
      <c r="U33" s="85"/>
      <c r="V33" s="91"/>
      <c r="W33" s="91"/>
      <c r="X33" s="91"/>
      <c r="Y33" s="91"/>
    </row>
    <row r="34" spans="1:25" ht="30" customHeight="1">
      <c r="A34" s="674" t="s">
        <v>74</v>
      </c>
      <c r="B34" s="674"/>
      <c r="C34" s="674"/>
      <c r="D34" s="3">
        <v>20</v>
      </c>
      <c r="E34" s="2">
        <v>1</v>
      </c>
      <c r="F34" s="2">
        <v>0.28</v>
      </c>
      <c r="G34" s="2">
        <v>8.1</v>
      </c>
      <c r="H34" s="3">
        <f>E34*4+F34*9+G34*4</f>
        <v>38.92</v>
      </c>
      <c r="I34" s="294"/>
      <c r="K34" s="28" t="s">
        <v>33</v>
      </c>
      <c r="L34" s="82">
        <f>+D30+C62</f>
        <v>60</v>
      </c>
      <c r="M34" s="95"/>
      <c r="N34" s="151"/>
      <c r="O34" s="85"/>
      <c r="P34" s="85"/>
      <c r="Q34" s="85"/>
      <c r="R34" s="85"/>
      <c r="S34" s="85"/>
      <c r="T34" s="85"/>
      <c r="U34" s="85"/>
      <c r="V34" s="91"/>
      <c r="W34" s="91"/>
      <c r="X34" s="91"/>
      <c r="Y34" s="91"/>
    </row>
    <row r="35" spans="1:25" ht="30" customHeight="1">
      <c r="A35" s="675" t="s">
        <v>72</v>
      </c>
      <c r="B35" s="675"/>
      <c r="C35" s="675"/>
      <c r="D35" s="1">
        <v>20</v>
      </c>
      <c r="E35" s="2"/>
      <c r="F35" s="2"/>
      <c r="G35" s="2"/>
      <c r="H35" s="3"/>
      <c r="I35" s="294"/>
      <c r="J35" s="10"/>
      <c r="K35" s="28" t="s">
        <v>78</v>
      </c>
      <c r="N35" s="332"/>
      <c r="O35" s="91"/>
      <c r="P35" s="91"/>
      <c r="Q35" s="91"/>
      <c r="R35" s="91"/>
      <c r="S35" s="91"/>
      <c r="T35" s="91"/>
      <c r="U35" s="91"/>
      <c r="V35" s="91"/>
      <c r="W35" s="91"/>
      <c r="X35" s="91"/>
      <c r="Y35" s="91"/>
    </row>
    <row r="36" spans="1:25" ht="30" customHeight="1">
      <c r="A36" s="690" t="s">
        <v>205</v>
      </c>
      <c r="B36" s="690"/>
      <c r="C36" s="690"/>
      <c r="D36" s="243">
        <f>100+265+125+D66+D73</f>
        <v>870</v>
      </c>
      <c r="E36" s="71">
        <f>E37+E42+E57+E66+E73+E79+E81</f>
        <v>38.28</v>
      </c>
      <c r="F36" s="71">
        <f>F37+F42+F57+F66+F73+F79+F81</f>
        <v>33.84</v>
      </c>
      <c r="G36" s="71">
        <f>G37+G42+G57+G66+G73+G79+G81</f>
        <v>120.68</v>
      </c>
      <c r="H36" s="71">
        <f>H37+H42+H57+H66+H73+H79+H81</f>
        <v>940.4</v>
      </c>
      <c r="I36" s="293"/>
      <c r="J36" s="10"/>
      <c r="K36" s="264" t="s">
        <v>193</v>
      </c>
      <c r="L36" s="82">
        <f>C78</f>
        <v>7</v>
      </c>
      <c r="N36" s="332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</row>
    <row r="37" spans="1:25" ht="30" customHeight="1">
      <c r="A37" s="671" t="s">
        <v>469</v>
      </c>
      <c r="B37" s="671"/>
      <c r="C37" s="671"/>
      <c r="D37" s="1">
        <v>100</v>
      </c>
      <c r="E37" s="2">
        <v>2.1</v>
      </c>
      <c r="F37" s="2">
        <v>5.1</v>
      </c>
      <c r="G37" s="2">
        <v>9.8</v>
      </c>
      <c r="H37" s="3">
        <f>E37*4+F37*9+G37*4</f>
        <v>93.5</v>
      </c>
      <c r="I37" s="471" t="s">
        <v>470</v>
      </c>
      <c r="J37" s="10"/>
      <c r="N37" s="332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</row>
    <row r="38" spans="1:25" ht="30" customHeight="1">
      <c r="A38" s="25" t="s">
        <v>75</v>
      </c>
      <c r="B38" s="43">
        <f>C38*1.02</f>
        <v>61.2</v>
      </c>
      <c r="C38" s="46">
        <v>60</v>
      </c>
      <c r="D38" s="266"/>
      <c r="E38" s="50"/>
      <c r="F38" s="50"/>
      <c r="G38" s="50"/>
      <c r="H38" s="50"/>
      <c r="I38" s="468"/>
      <c r="J38" s="10"/>
      <c r="N38" s="332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</row>
    <row r="39" spans="1:10" ht="30" customHeight="1">
      <c r="A39" s="100" t="s">
        <v>89</v>
      </c>
      <c r="B39" s="26">
        <f>C39*1.18</f>
        <v>70.8</v>
      </c>
      <c r="C39" s="47">
        <v>60</v>
      </c>
      <c r="D39" s="266"/>
      <c r="E39" s="50"/>
      <c r="F39" s="50"/>
      <c r="G39" s="50"/>
      <c r="H39" s="50"/>
      <c r="I39" s="468"/>
      <c r="J39" s="10"/>
    </row>
    <row r="40" spans="1:10" ht="30" customHeight="1">
      <c r="A40" s="25" t="s">
        <v>428</v>
      </c>
      <c r="B40" s="26">
        <f>C40*1.67</f>
        <v>58.449999999999996</v>
      </c>
      <c r="C40" s="22">
        <v>35</v>
      </c>
      <c r="D40" s="266"/>
      <c r="E40" s="43"/>
      <c r="F40" s="43"/>
      <c r="G40" s="43"/>
      <c r="H40" s="22"/>
      <c r="I40" s="320"/>
      <c r="J40" s="10"/>
    </row>
    <row r="41" spans="1:11" ht="30" customHeight="1">
      <c r="A41" s="25" t="s">
        <v>44</v>
      </c>
      <c r="B41" s="22">
        <v>5</v>
      </c>
      <c r="C41" s="22">
        <v>5</v>
      </c>
      <c r="D41" s="266"/>
      <c r="E41" s="43"/>
      <c r="F41" s="43"/>
      <c r="G41" s="43"/>
      <c r="H41" s="22"/>
      <c r="I41" s="320"/>
      <c r="J41" s="10"/>
      <c r="K41" s="10"/>
    </row>
    <row r="42" spans="1:11" ht="30" customHeight="1">
      <c r="A42" s="683" t="s">
        <v>464</v>
      </c>
      <c r="B42" s="683"/>
      <c r="C42" s="683"/>
      <c r="D42" s="632" t="s">
        <v>206</v>
      </c>
      <c r="E42" s="21">
        <v>5.9</v>
      </c>
      <c r="F42" s="21">
        <v>6.3</v>
      </c>
      <c r="G42" s="21">
        <v>12.8</v>
      </c>
      <c r="H42" s="238">
        <f>E42*4+F42*9+G42*4</f>
        <v>131.5</v>
      </c>
      <c r="I42" s="302" t="s">
        <v>319</v>
      </c>
      <c r="J42" s="10"/>
      <c r="K42" s="10"/>
    </row>
    <row r="43" spans="1:10" ht="30" customHeight="1">
      <c r="A43" s="54" t="s">
        <v>460</v>
      </c>
      <c r="B43" s="37">
        <v>29</v>
      </c>
      <c r="C43" s="24">
        <v>26</v>
      </c>
      <c r="D43" s="33"/>
      <c r="E43" s="270"/>
      <c r="F43" s="32"/>
      <c r="G43" s="32"/>
      <c r="H43" s="45"/>
      <c r="I43" s="302"/>
      <c r="J43" s="10"/>
    </row>
    <row r="44" spans="1:21" s="40" customFormat="1" ht="30" customHeight="1">
      <c r="A44" s="54" t="s">
        <v>459</v>
      </c>
      <c r="B44" s="37">
        <f>C44*1.04</f>
        <v>18.72</v>
      </c>
      <c r="C44" s="24">
        <v>18</v>
      </c>
      <c r="D44" s="420"/>
      <c r="E44" s="421"/>
      <c r="F44" s="38"/>
      <c r="G44" s="38"/>
      <c r="H44" s="104"/>
      <c r="I44" s="422"/>
      <c r="J44" s="10"/>
      <c r="M44" s="80"/>
      <c r="N44" s="80"/>
      <c r="O44" s="80"/>
      <c r="P44" s="80"/>
      <c r="Q44" s="80"/>
      <c r="R44" s="80"/>
      <c r="S44" s="80"/>
      <c r="T44" s="80"/>
      <c r="U44" s="80"/>
    </row>
    <row r="45" spans="1:13" ht="30" customHeight="1">
      <c r="A45" s="171" t="s">
        <v>457</v>
      </c>
      <c r="B45" s="126">
        <f>C45*1.054</f>
        <v>14.756</v>
      </c>
      <c r="C45" s="23">
        <v>14</v>
      </c>
      <c r="D45" s="282"/>
      <c r="E45" s="440"/>
      <c r="F45" s="33"/>
      <c r="G45" s="33"/>
      <c r="H45" s="24"/>
      <c r="I45" s="441"/>
      <c r="J45" s="10"/>
      <c r="M45" s="85"/>
    </row>
    <row r="46" spans="1:14" ht="30" customHeight="1">
      <c r="A46" s="89" t="s">
        <v>47</v>
      </c>
      <c r="B46" s="57">
        <f>C46*1.33</f>
        <v>99.75</v>
      </c>
      <c r="C46" s="23">
        <v>75</v>
      </c>
      <c r="D46" s="632"/>
      <c r="E46" s="632"/>
      <c r="F46" s="21"/>
      <c r="G46" s="21"/>
      <c r="H46" s="238"/>
      <c r="I46" s="299"/>
      <c r="J46" s="10"/>
      <c r="M46" s="85"/>
      <c r="N46" s="86"/>
    </row>
    <row r="47" spans="1:14" ht="30" customHeight="1">
      <c r="A47" s="89" t="s">
        <v>48</v>
      </c>
      <c r="B47" s="57">
        <f>C47*1.43</f>
        <v>107.25</v>
      </c>
      <c r="C47" s="23">
        <v>75</v>
      </c>
      <c r="D47" s="632"/>
      <c r="E47" s="632"/>
      <c r="F47" s="21"/>
      <c r="G47" s="21"/>
      <c r="H47" s="238"/>
      <c r="I47" s="299"/>
      <c r="J47" s="10"/>
      <c r="M47" s="85"/>
      <c r="N47" s="86"/>
    </row>
    <row r="48" spans="1:14" ht="30" customHeight="1">
      <c r="A48" s="100" t="s">
        <v>49</v>
      </c>
      <c r="B48" s="46">
        <f>C48*1.54</f>
        <v>115.5</v>
      </c>
      <c r="C48" s="23">
        <v>75</v>
      </c>
      <c r="D48" s="1"/>
      <c r="E48" s="1"/>
      <c r="F48" s="21"/>
      <c r="G48" s="21"/>
      <c r="H48" s="238"/>
      <c r="I48" s="299"/>
      <c r="J48" s="10"/>
      <c r="M48" s="87"/>
      <c r="N48" s="86"/>
    </row>
    <row r="49" spans="1:21" ht="30" customHeight="1">
      <c r="A49" s="100" t="s">
        <v>50</v>
      </c>
      <c r="B49" s="46">
        <f>C49*1.67</f>
        <v>125.25</v>
      </c>
      <c r="C49" s="23">
        <v>75</v>
      </c>
      <c r="D49" s="1"/>
      <c r="E49" s="1"/>
      <c r="F49" s="21"/>
      <c r="G49" s="21"/>
      <c r="H49" s="238"/>
      <c r="I49" s="299"/>
      <c r="J49" s="39"/>
      <c r="M49" s="85"/>
      <c r="N49" s="88"/>
      <c r="O49" s="40"/>
      <c r="P49" s="40"/>
      <c r="Q49" s="40"/>
      <c r="R49" s="40"/>
      <c r="S49" s="40"/>
      <c r="T49" s="40"/>
      <c r="U49" s="40"/>
    </row>
    <row r="50" spans="1:14" ht="30.75" customHeight="1">
      <c r="A50" s="59" t="s">
        <v>55</v>
      </c>
      <c r="B50" s="57">
        <f>C50*1.25</f>
        <v>25</v>
      </c>
      <c r="C50" s="58">
        <v>20</v>
      </c>
      <c r="D50" s="271"/>
      <c r="E50" s="272"/>
      <c r="F50" s="38"/>
      <c r="G50" s="38"/>
      <c r="H50" s="57"/>
      <c r="I50" s="309"/>
      <c r="J50" s="10"/>
      <c r="M50" s="85"/>
      <c r="N50" s="86"/>
    </row>
    <row r="51" spans="1:14" ht="30.75" customHeight="1">
      <c r="A51" s="53" t="s">
        <v>112</v>
      </c>
      <c r="B51" s="38">
        <f>C51*1.25</f>
        <v>12.5</v>
      </c>
      <c r="C51" s="23">
        <v>10</v>
      </c>
      <c r="D51" s="632"/>
      <c r="E51" s="632"/>
      <c r="F51" s="21"/>
      <c r="G51" s="21"/>
      <c r="H51" s="238"/>
      <c r="I51" s="299"/>
      <c r="J51" s="10"/>
      <c r="M51" s="85"/>
      <c r="N51" s="86"/>
    </row>
    <row r="52" spans="1:14" ht="30.75" customHeight="1">
      <c r="A52" s="59" t="s">
        <v>43</v>
      </c>
      <c r="B52" s="32">
        <f>C52*1.33</f>
        <v>13.3</v>
      </c>
      <c r="C52" s="23">
        <v>10</v>
      </c>
      <c r="D52" s="632"/>
      <c r="E52" s="632"/>
      <c r="F52" s="21"/>
      <c r="G52" s="21"/>
      <c r="H52" s="238"/>
      <c r="I52" s="299"/>
      <c r="J52" s="10"/>
      <c r="M52" s="85"/>
      <c r="N52" s="86"/>
    </row>
    <row r="53" spans="1:14" ht="30.75" customHeight="1">
      <c r="A53" s="59" t="s">
        <v>51</v>
      </c>
      <c r="B53" s="45">
        <f>C53*1.19</f>
        <v>11.899999999999999</v>
      </c>
      <c r="C53" s="23">
        <v>10</v>
      </c>
      <c r="D53" s="632"/>
      <c r="E53" s="632"/>
      <c r="F53" s="21"/>
      <c r="G53" s="21"/>
      <c r="H53" s="238"/>
      <c r="I53" s="299"/>
      <c r="J53" s="10"/>
      <c r="M53" s="85"/>
      <c r="N53" s="86"/>
    </row>
    <row r="54" spans="1:14" ht="30.75" customHeight="1">
      <c r="A54" s="59" t="s">
        <v>149</v>
      </c>
      <c r="B54" s="45">
        <f>C54*1.82</f>
        <v>27.3</v>
      </c>
      <c r="C54" s="23">
        <v>15</v>
      </c>
      <c r="D54" s="632"/>
      <c r="E54" s="632"/>
      <c r="F54" s="21"/>
      <c r="G54" s="21"/>
      <c r="H54" s="238"/>
      <c r="I54" s="299"/>
      <c r="J54" s="10"/>
      <c r="M54" s="85"/>
      <c r="N54" s="86"/>
    </row>
    <row r="55" spans="1:14" ht="30.75" customHeight="1">
      <c r="A55" s="59" t="s">
        <v>70</v>
      </c>
      <c r="B55" s="23">
        <v>5</v>
      </c>
      <c r="C55" s="23">
        <v>5</v>
      </c>
      <c r="D55" s="632"/>
      <c r="E55" s="632"/>
      <c r="F55" s="21"/>
      <c r="G55" s="21"/>
      <c r="H55" s="238"/>
      <c r="I55" s="299"/>
      <c r="J55" s="10"/>
      <c r="M55" s="85"/>
      <c r="N55" s="86"/>
    </row>
    <row r="56" spans="1:14" ht="30.75" customHeight="1">
      <c r="A56" s="89" t="s">
        <v>52</v>
      </c>
      <c r="B56" s="58">
        <v>5</v>
      </c>
      <c r="C56" s="58">
        <v>5</v>
      </c>
      <c r="D56" s="273"/>
      <c r="E56" s="38"/>
      <c r="F56" s="38"/>
      <c r="G56" s="38"/>
      <c r="H56" s="57"/>
      <c r="I56" s="309"/>
      <c r="J56" s="10"/>
      <c r="M56" s="85"/>
      <c r="N56" s="86"/>
    </row>
    <row r="57" spans="1:14" ht="30.75" customHeight="1">
      <c r="A57" s="683" t="s">
        <v>577</v>
      </c>
      <c r="B57" s="683"/>
      <c r="C57" s="683"/>
      <c r="D57" s="632" t="s">
        <v>440</v>
      </c>
      <c r="E57" s="2">
        <v>21.2</v>
      </c>
      <c r="F57" s="2">
        <v>15.1</v>
      </c>
      <c r="G57" s="2">
        <v>8.1</v>
      </c>
      <c r="H57" s="3">
        <f>E57*4+F57*9+G57*4</f>
        <v>253.1</v>
      </c>
      <c r="I57" s="297" t="s">
        <v>576</v>
      </c>
      <c r="J57" s="10"/>
      <c r="M57" s="85"/>
      <c r="N57" s="90"/>
    </row>
    <row r="58" spans="1:14" ht="30.75" customHeight="1">
      <c r="A58" s="54" t="s">
        <v>486</v>
      </c>
      <c r="B58" s="159">
        <f>C58*1.5</f>
        <v>180</v>
      </c>
      <c r="C58" s="45">
        <v>120</v>
      </c>
      <c r="D58" s="1"/>
      <c r="E58" s="2"/>
      <c r="F58" s="2"/>
      <c r="G58" s="2"/>
      <c r="H58" s="3"/>
      <c r="I58" s="32"/>
      <c r="J58" s="10"/>
      <c r="M58" s="85"/>
      <c r="N58" s="90"/>
    </row>
    <row r="59" spans="1:14" ht="30.75" customHeight="1">
      <c r="A59" s="54" t="s">
        <v>487</v>
      </c>
      <c r="B59" s="159">
        <f>C59*1.82</f>
        <v>218.4</v>
      </c>
      <c r="C59" s="107">
        <v>120</v>
      </c>
      <c r="D59" s="1"/>
      <c r="E59" s="23"/>
      <c r="F59" s="23"/>
      <c r="G59" s="23"/>
      <c r="H59" s="23"/>
      <c r="I59" s="32"/>
      <c r="J59" s="10"/>
      <c r="N59" s="85"/>
    </row>
    <row r="60" spans="1:10" ht="30.75" customHeight="1">
      <c r="A60" s="25" t="s">
        <v>488</v>
      </c>
      <c r="B60" s="26">
        <f>C60*1.25</f>
        <v>18.75</v>
      </c>
      <c r="C60" s="26">
        <v>15</v>
      </c>
      <c r="D60" s="1"/>
      <c r="E60" s="22"/>
      <c r="F60" s="43"/>
      <c r="G60" s="43"/>
      <c r="H60" s="26"/>
      <c r="I60" s="43"/>
      <c r="J60" s="10"/>
    </row>
    <row r="61" spans="1:21" s="83" customFormat="1" ht="30.75" customHeight="1">
      <c r="A61" s="25" t="s">
        <v>43</v>
      </c>
      <c r="B61" s="26">
        <f>C61*1.33</f>
        <v>19.950000000000003</v>
      </c>
      <c r="C61" s="26">
        <v>15</v>
      </c>
      <c r="D61" s="1"/>
      <c r="E61" s="22"/>
      <c r="F61" s="43"/>
      <c r="G61" s="43"/>
      <c r="H61" s="26"/>
      <c r="I61" s="43"/>
      <c r="J61" s="10"/>
      <c r="M61" s="80"/>
      <c r="N61" s="80"/>
      <c r="O61" s="80"/>
      <c r="P61" s="80"/>
      <c r="Q61" s="80"/>
      <c r="R61" s="80"/>
      <c r="S61" s="80"/>
      <c r="T61" s="80"/>
      <c r="U61" s="80"/>
    </row>
    <row r="62" spans="1:14" ht="30.75" customHeight="1">
      <c r="A62" s="25" t="s">
        <v>489</v>
      </c>
      <c r="B62" s="22">
        <v>20</v>
      </c>
      <c r="C62" s="22">
        <v>20</v>
      </c>
      <c r="D62" s="1"/>
      <c r="E62" s="22"/>
      <c r="F62" s="43"/>
      <c r="G62" s="43"/>
      <c r="H62" s="26"/>
      <c r="I62" s="43"/>
      <c r="J62" s="10"/>
      <c r="N62" s="148"/>
    </row>
    <row r="63" spans="1:14" ht="30.75" customHeight="1">
      <c r="A63" s="25" t="s">
        <v>54</v>
      </c>
      <c r="B63" s="26">
        <v>5</v>
      </c>
      <c r="C63" s="26">
        <v>4.5</v>
      </c>
      <c r="D63" s="1"/>
      <c r="E63" s="22"/>
      <c r="F63" s="2"/>
      <c r="G63" s="2"/>
      <c r="H63" s="3"/>
      <c r="I63" s="2"/>
      <c r="J63" s="10"/>
      <c r="N63" s="148"/>
    </row>
    <row r="64" spans="1:14" ht="30.75" customHeight="1">
      <c r="A64" s="25" t="s">
        <v>44</v>
      </c>
      <c r="B64" s="26">
        <v>6</v>
      </c>
      <c r="C64" s="26">
        <v>6</v>
      </c>
      <c r="D64" s="1"/>
      <c r="E64" s="22"/>
      <c r="F64" s="43"/>
      <c r="G64" s="43"/>
      <c r="H64" s="26"/>
      <c r="I64" s="43"/>
      <c r="J64" s="10"/>
      <c r="N64" s="148"/>
    </row>
    <row r="65" spans="1:14" ht="30.75" customHeight="1">
      <c r="A65" s="25" t="s">
        <v>70</v>
      </c>
      <c r="B65" s="26">
        <v>5</v>
      </c>
      <c r="C65" s="26">
        <v>5</v>
      </c>
      <c r="D65" s="23"/>
      <c r="E65" s="43"/>
      <c r="F65" s="43"/>
      <c r="G65" s="43"/>
      <c r="H65" s="26"/>
      <c r="I65" s="43"/>
      <c r="J65" s="9"/>
      <c r="N65" s="148"/>
    </row>
    <row r="66" spans="1:21" ht="30.75" customHeight="1">
      <c r="A66" s="677" t="s">
        <v>230</v>
      </c>
      <c r="B66" s="677"/>
      <c r="C66" s="677"/>
      <c r="D66" s="1">
        <v>180</v>
      </c>
      <c r="E66" s="63">
        <v>3.9</v>
      </c>
      <c r="F66" s="63">
        <v>5.9</v>
      </c>
      <c r="G66" s="63">
        <v>26.7</v>
      </c>
      <c r="H66" s="3">
        <f>E66*4+F66*9+G66*4</f>
        <v>175.5</v>
      </c>
      <c r="I66" s="294" t="s">
        <v>231</v>
      </c>
      <c r="J66" s="9"/>
      <c r="N66" s="148"/>
      <c r="O66" s="83"/>
      <c r="P66" s="83"/>
      <c r="Q66" s="83"/>
      <c r="R66" s="83"/>
      <c r="S66" s="83"/>
      <c r="T66" s="83"/>
      <c r="U66" s="83"/>
    </row>
    <row r="67" spans="1:14" ht="28.5" customHeight="1">
      <c r="A67" s="20" t="s">
        <v>47</v>
      </c>
      <c r="B67" s="45">
        <f>C67*1.33</f>
        <v>204.82000000000002</v>
      </c>
      <c r="C67" s="23">
        <v>154</v>
      </c>
      <c r="D67" s="22"/>
      <c r="E67" s="43"/>
      <c r="F67" s="43"/>
      <c r="G67" s="43"/>
      <c r="H67" s="26"/>
      <c r="I67" s="304"/>
      <c r="J67" s="9"/>
      <c r="N67" s="148"/>
    </row>
    <row r="68" spans="1:14" ht="28.5" customHeight="1">
      <c r="A68" s="53" t="s">
        <v>48</v>
      </c>
      <c r="B68" s="45">
        <f>C68*1.43</f>
        <v>220.22</v>
      </c>
      <c r="C68" s="23">
        <v>154</v>
      </c>
      <c r="D68" s="22"/>
      <c r="E68" s="43"/>
      <c r="F68" s="43"/>
      <c r="G68" s="43"/>
      <c r="H68" s="26"/>
      <c r="I68" s="304"/>
      <c r="J68" s="9"/>
      <c r="N68" s="148"/>
    </row>
    <row r="69" spans="1:10" ht="28.5" customHeight="1">
      <c r="A69" s="20" t="s">
        <v>49</v>
      </c>
      <c r="B69" s="45">
        <f>C69*1.54</f>
        <v>237.16</v>
      </c>
      <c r="C69" s="23">
        <v>154</v>
      </c>
      <c r="D69" s="22"/>
      <c r="E69" s="43"/>
      <c r="F69" s="43"/>
      <c r="G69" s="43"/>
      <c r="H69" s="26"/>
      <c r="I69" s="304"/>
      <c r="J69" s="9"/>
    </row>
    <row r="70" spans="1:10" ht="28.5" customHeight="1">
      <c r="A70" s="20" t="s">
        <v>50</v>
      </c>
      <c r="B70" s="45">
        <f>C70*1.67</f>
        <v>257.18</v>
      </c>
      <c r="C70" s="23">
        <v>154</v>
      </c>
      <c r="D70" s="22"/>
      <c r="E70" s="43"/>
      <c r="F70" s="43"/>
      <c r="G70" s="43"/>
      <c r="H70" s="26"/>
      <c r="I70" s="304"/>
      <c r="J70" s="9"/>
    </row>
    <row r="71" spans="1:21" s="95" customFormat="1" ht="28.5" customHeight="1">
      <c r="A71" s="53" t="s">
        <v>63</v>
      </c>
      <c r="B71" s="23">
        <v>29</v>
      </c>
      <c r="C71" s="23">
        <v>29</v>
      </c>
      <c r="D71" s="22"/>
      <c r="E71" s="43"/>
      <c r="F71" s="43"/>
      <c r="G71" s="43"/>
      <c r="H71" s="26"/>
      <c r="I71" s="304"/>
      <c r="J71" s="9"/>
      <c r="M71" s="80"/>
      <c r="N71" s="80"/>
      <c r="O71" s="80"/>
      <c r="P71" s="80"/>
      <c r="Q71" s="80"/>
      <c r="R71" s="80"/>
      <c r="S71" s="80"/>
      <c r="T71" s="80"/>
      <c r="U71" s="80"/>
    </row>
    <row r="72" spans="1:21" s="95" customFormat="1" ht="28.5" customHeight="1">
      <c r="A72" s="89" t="s">
        <v>40</v>
      </c>
      <c r="B72" s="23">
        <v>7</v>
      </c>
      <c r="C72" s="23">
        <v>7</v>
      </c>
      <c r="D72" s="43"/>
      <c r="E72" s="43"/>
      <c r="F72" s="43"/>
      <c r="G72" s="43"/>
      <c r="H72" s="26"/>
      <c r="I72" s="304"/>
      <c r="J72" s="9"/>
      <c r="M72" s="80"/>
      <c r="N72" s="80"/>
      <c r="O72" s="80"/>
      <c r="P72" s="80"/>
      <c r="Q72" s="80"/>
      <c r="R72" s="80"/>
      <c r="S72" s="80"/>
      <c r="T72" s="80"/>
      <c r="U72" s="80"/>
    </row>
    <row r="73" spans="1:21" s="95" customFormat="1" ht="28.5" customHeight="1">
      <c r="A73" s="716" t="s">
        <v>297</v>
      </c>
      <c r="B73" s="716"/>
      <c r="C73" s="716"/>
      <c r="D73" s="4">
        <v>200</v>
      </c>
      <c r="E73" s="222">
        <v>0.3</v>
      </c>
      <c r="F73" s="222">
        <v>0.2</v>
      </c>
      <c r="G73" s="222">
        <v>21.5</v>
      </c>
      <c r="H73" s="3">
        <f>E73*4+F73*9+G73*4</f>
        <v>89</v>
      </c>
      <c r="I73" s="297" t="s">
        <v>298</v>
      </c>
      <c r="J73" s="9"/>
      <c r="K73" s="9"/>
      <c r="L73" s="80"/>
      <c r="M73" s="80"/>
      <c r="N73" s="80"/>
      <c r="O73" s="80"/>
      <c r="P73" s="80"/>
      <c r="Q73" s="80"/>
      <c r="R73" s="80"/>
      <c r="S73" s="80"/>
      <c r="T73" s="80"/>
      <c r="U73" s="80"/>
    </row>
    <row r="74" spans="1:11" ht="28.5" customHeight="1">
      <c r="A74" s="59" t="s">
        <v>207</v>
      </c>
      <c r="B74" s="156">
        <f>C74*1.05</f>
        <v>25.200000000000003</v>
      </c>
      <c r="C74" s="156">
        <v>24</v>
      </c>
      <c r="D74" s="158"/>
      <c r="E74" s="228"/>
      <c r="F74" s="228"/>
      <c r="G74" s="228"/>
      <c r="H74" s="3"/>
      <c r="I74" s="301"/>
      <c r="J74" s="9"/>
      <c r="K74" s="9"/>
    </row>
    <row r="75" spans="1:11" ht="28.5" customHeight="1">
      <c r="A75" s="59" t="s">
        <v>143</v>
      </c>
      <c r="B75" s="156">
        <f>C75*1.05</f>
        <v>25.200000000000003</v>
      </c>
      <c r="C75" s="156">
        <v>24</v>
      </c>
      <c r="D75" s="158"/>
      <c r="E75" s="228"/>
      <c r="F75" s="228"/>
      <c r="G75" s="228"/>
      <c r="H75" s="3"/>
      <c r="I75" s="301"/>
      <c r="J75" s="9"/>
      <c r="K75" s="9"/>
    </row>
    <row r="76" spans="1:24" ht="28.5" customHeight="1">
      <c r="A76" s="165" t="s">
        <v>208</v>
      </c>
      <c r="B76" s="156">
        <f>C76*1.05</f>
        <v>25.200000000000003</v>
      </c>
      <c r="C76" s="156">
        <v>24</v>
      </c>
      <c r="D76" s="194"/>
      <c r="E76" s="232"/>
      <c r="F76" s="232"/>
      <c r="G76" s="232"/>
      <c r="H76" s="533"/>
      <c r="I76" s="301"/>
      <c r="J76" s="9"/>
      <c r="K76" s="9"/>
      <c r="O76" s="95"/>
      <c r="P76" s="678"/>
      <c r="Q76" s="678"/>
      <c r="R76" s="678"/>
      <c r="S76" s="334"/>
      <c r="T76" s="335"/>
      <c r="U76" s="335"/>
      <c r="V76" s="335"/>
      <c r="W76" s="360"/>
      <c r="X76" s="336"/>
    </row>
    <row r="77" spans="1:24" ht="28.5" customHeight="1">
      <c r="A77" s="25" t="s">
        <v>39</v>
      </c>
      <c r="B77" s="166">
        <v>15</v>
      </c>
      <c r="C77" s="166">
        <v>15</v>
      </c>
      <c r="D77" s="194"/>
      <c r="E77" s="232"/>
      <c r="F77" s="232"/>
      <c r="G77" s="232"/>
      <c r="H77" s="533"/>
      <c r="I77" s="301"/>
      <c r="J77" s="9"/>
      <c r="K77" s="9"/>
      <c r="O77" s="95"/>
      <c r="P77" s="347"/>
      <c r="Q77" s="555"/>
      <c r="R77" s="555"/>
      <c r="S77" s="337"/>
      <c r="T77" s="187"/>
      <c r="U77" s="187"/>
      <c r="V77" s="187"/>
      <c r="W77" s="77"/>
      <c r="X77" s="336"/>
    </row>
    <row r="78" spans="1:24" ht="28.5" customHeight="1">
      <c r="A78" s="25" t="s">
        <v>299</v>
      </c>
      <c r="B78" s="46">
        <v>7</v>
      </c>
      <c r="C78" s="46">
        <v>7</v>
      </c>
      <c r="D78" s="1"/>
      <c r="E78" s="2"/>
      <c r="F78" s="2"/>
      <c r="G78" s="2"/>
      <c r="H78" s="3"/>
      <c r="I78" s="333"/>
      <c r="J78" s="9"/>
      <c r="O78" s="95"/>
      <c r="P78" s="347"/>
      <c r="Q78" s="363"/>
      <c r="R78" s="77"/>
      <c r="S78" s="77"/>
      <c r="T78" s="187"/>
      <c r="U78" s="187"/>
      <c r="V78" s="187"/>
      <c r="W78" s="77"/>
      <c r="X78" s="336"/>
    </row>
    <row r="79" spans="1:24" ht="28.5" customHeight="1">
      <c r="A79" s="674" t="s">
        <v>34</v>
      </c>
      <c r="B79" s="674"/>
      <c r="C79" s="674"/>
      <c r="D79" s="1">
        <v>40</v>
      </c>
      <c r="E79" s="2">
        <v>1.88</v>
      </c>
      <c r="F79" s="2">
        <v>0.4</v>
      </c>
      <c r="G79" s="2">
        <v>17.48</v>
      </c>
      <c r="H79" s="3">
        <v>81.04</v>
      </c>
      <c r="I79" s="294"/>
      <c r="J79" s="9"/>
      <c r="P79" s="136"/>
      <c r="Q79" s="78"/>
      <c r="R79" s="78"/>
      <c r="S79" s="337"/>
      <c r="T79" s="187"/>
      <c r="U79" s="187"/>
      <c r="V79" s="187"/>
      <c r="W79" s="77"/>
      <c r="X79" s="376"/>
    </row>
    <row r="80" spans="1:24" ht="28.5" customHeight="1">
      <c r="A80" s="675" t="s">
        <v>145</v>
      </c>
      <c r="B80" s="675"/>
      <c r="C80" s="675"/>
      <c r="D80" s="1">
        <v>40</v>
      </c>
      <c r="E80" s="2"/>
      <c r="F80" s="2"/>
      <c r="G80" s="2"/>
      <c r="H80" s="3"/>
      <c r="I80" s="294"/>
      <c r="J80" s="9"/>
      <c r="P80" s="679"/>
      <c r="Q80" s="679"/>
      <c r="R80" s="679"/>
      <c r="S80" s="679"/>
      <c r="T80" s="679"/>
      <c r="U80" s="679"/>
      <c r="V80" s="679"/>
      <c r="W80" s="679"/>
      <c r="X80" s="679"/>
    </row>
    <row r="81" spans="1:24" ht="28.5" customHeight="1">
      <c r="A81" s="674" t="s">
        <v>74</v>
      </c>
      <c r="B81" s="674"/>
      <c r="C81" s="674"/>
      <c r="D81" s="3">
        <v>60</v>
      </c>
      <c r="E81" s="2">
        <v>3</v>
      </c>
      <c r="F81" s="2">
        <v>0.8400000000000001</v>
      </c>
      <c r="G81" s="2">
        <v>24.299999999999997</v>
      </c>
      <c r="H81" s="3">
        <v>116.76</v>
      </c>
      <c r="I81" s="294"/>
      <c r="J81" s="9"/>
      <c r="P81" s="678"/>
      <c r="Q81" s="678"/>
      <c r="R81" s="678"/>
      <c r="S81" s="334"/>
      <c r="T81" s="633"/>
      <c r="U81" s="633"/>
      <c r="V81" s="633"/>
      <c r="W81" s="560"/>
      <c r="X81" s="356"/>
    </row>
    <row r="82" spans="1:24" ht="28.5" customHeight="1">
      <c r="A82" s="675" t="s">
        <v>72</v>
      </c>
      <c r="B82" s="675"/>
      <c r="C82" s="675"/>
      <c r="D82" s="1">
        <v>60</v>
      </c>
      <c r="E82" s="2"/>
      <c r="F82" s="2"/>
      <c r="G82" s="2"/>
      <c r="H82" s="3"/>
      <c r="I82" s="294"/>
      <c r="J82" s="9"/>
      <c r="P82" s="357"/>
      <c r="Q82" s="371"/>
      <c r="R82" s="216"/>
      <c r="S82" s="566"/>
      <c r="T82" s="405"/>
      <c r="U82" s="405"/>
      <c r="V82" s="405"/>
      <c r="W82" s="261"/>
      <c r="X82" s="405"/>
    </row>
    <row r="83" spans="1:24" ht="28.5" customHeight="1">
      <c r="A83" s="698" t="s">
        <v>202</v>
      </c>
      <c r="B83" s="698"/>
      <c r="C83" s="698"/>
      <c r="D83" s="235"/>
      <c r="E83" s="235">
        <f>E9+E36</f>
        <v>54.18</v>
      </c>
      <c r="F83" s="235">
        <f>F9+F36</f>
        <v>41.92</v>
      </c>
      <c r="G83" s="235">
        <f>G9+G36</f>
        <v>227.98000000000002</v>
      </c>
      <c r="H83" s="267">
        <f>H9+H36</f>
        <v>1484.74</v>
      </c>
      <c r="I83" s="302"/>
      <c r="J83" s="9"/>
      <c r="P83" s="357"/>
      <c r="Q83" s="371"/>
      <c r="R83" s="216"/>
      <c r="S83" s="566"/>
      <c r="T83" s="405"/>
      <c r="U83" s="405"/>
      <c r="V83" s="405"/>
      <c r="W83" s="261"/>
      <c r="X83" s="405"/>
    </row>
    <row r="84" spans="1:24" ht="30" customHeight="1">
      <c r="A84" s="706" t="s">
        <v>11</v>
      </c>
      <c r="B84" s="706"/>
      <c r="C84" s="706"/>
      <c r="D84" s="706"/>
      <c r="E84" s="706"/>
      <c r="F84" s="706"/>
      <c r="G84" s="706"/>
      <c r="H84" s="707"/>
      <c r="I84" s="706"/>
      <c r="J84" s="9"/>
      <c r="P84" s="215"/>
      <c r="Q84" s="78"/>
      <c r="R84" s="78"/>
      <c r="S84" s="566"/>
      <c r="T84" s="633"/>
      <c r="U84" s="633"/>
      <c r="V84" s="633"/>
      <c r="W84" s="634"/>
      <c r="X84" s="356"/>
    </row>
    <row r="85" spans="1:10" ht="30" customHeight="1">
      <c r="A85" s="693" t="s">
        <v>1</v>
      </c>
      <c r="B85" s="676" t="s">
        <v>2</v>
      </c>
      <c r="C85" s="676" t="s">
        <v>3</v>
      </c>
      <c r="D85" s="676" t="s">
        <v>4</v>
      </c>
      <c r="E85" s="676"/>
      <c r="F85" s="676"/>
      <c r="G85" s="676"/>
      <c r="H85" s="676"/>
      <c r="I85" s="682" t="s">
        <v>201</v>
      </c>
      <c r="J85" s="9"/>
    </row>
    <row r="86" spans="1:10" ht="30" customHeight="1">
      <c r="A86" s="693"/>
      <c r="B86" s="676"/>
      <c r="C86" s="676"/>
      <c r="D86" s="6" t="s">
        <v>5</v>
      </c>
      <c r="E86" s="62" t="s">
        <v>6</v>
      </c>
      <c r="F86" s="62" t="s">
        <v>7</v>
      </c>
      <c r="G86" s="62" t="s">
        <v>8</v>
      </c>
      <c r="H86" s="69" t="s">
        <v>9</v>
      </c>
      <c r="I86" s="682"/>
      <c r="J86" s="9"/>
    </row>
    <row r="87" spans="1:10" ht="30" customHeight="1">
      <c r="A87" s="690" t="s">
        <v>10</v>
      </c>
      <c r="B87" s="690"/>
      <c r="C87" s="690"/>
      <c r="D87" s="638">
        <f>40+105+D101+D104+D108</f>
        <v>625</v>
      </c>
      <c r="E87" s="71">
        <f>E88+E91+E101+E104+E108</f>
        <v>23.400000000000002</v>
      </c>
      <c r="F87" s="71">
        <f>F88+F91+F101+F104+F108</f>
        <v>27</v>
      </c>
      <c r="G87" s="71">
        <f>G88+G91+G101+G104+G108</f>
        <v>85.6</v>
      </c>
      <c r="H87" s="265">
        <f>H88+H91+H101+H104+H108</f>
        <v>679</v>
      </c>
      <c r="I87" s="293"/>
      <c r="J87" s="9"/>
    </row>
    <row r="88" spans="1:11" ht="30" customHeight="1">
      <c r="A88" s="672" t="s">
        <v>228</v>
      </c>
      <c r="B88" s="672"/>
      <c r="C88" s="672"/>
      <c r="D88" s="223" t="s">
        <v>303</v>
      </c>
      <c r="E88" s="63">
        <v>5.7</v>
      </c>
      <c r="F88" s="224">
        <v>6.2</v>
      </c>
      <c r="G88" s="63">
        <v>7.2</v>
      </c>
      <c r="H88" s="3">
        <f>E88*4+F88*9+G88*4</f>
        <v>107.4</v>
      </c>
      <c r="I88" s="294" t="s">
        <v>229</v>
      </c>
      <c r="J88" s="9"/>
      <c r="K88" s="80" t="s">
        <v>11</v>
      </c>
    </row>
    <row r="89" spans="1:27" ht="30" customHeight="1">
      <c r="A89" s="101" t="s">
        <v>393</v>
      </c>
      <c r="B89" s="58">
        <v>20</v>
      </c>
      <c r="C89" s="58">
        <v>20</v>
      </c>
      <c r="D89" s="218"/>
      <c r="E89" s="225"/>
      <c r="F89" s="225"/>
      <c r="G89" s="225"/>
      <c r="H89" s="233"/>
      <c r="I89" s="296"/>
      <c r="J89" s="9"/>
      <c r="K89" s="27" t="s">
        <v>34</v>
      </c>
      <c r="L89" s="80">
        <f>D160</f>
        <v>40</v>
      </c>
      <c r="R89" s="87"/>
      <c r="S89" s="87"/>
      <c r="T89" s="87"/>
      <c r="U89" s="87"/>
      <c r="V89" s="87"/>
      <c r="W89" s="87"/>
      <c r="X89" s="87"/>
      <c r="Y89" s="87"/>
      <c r="Z89" s="87"/>
      <c r="AA89" s="87"/>
    </row>
    <row r="90" spans="1:27" ht="30" customHeight="1">
      <c r="A90" s="89" t="s">
        <v>58</v>
      </c>
      <c r="B90" s="57">
        <v>21</v>
      </c>
      <c r="C90" s="58">
        <v>20</v>
      </c>
      <c r="D90" s="218"/>
      <c r="E90" s="225"/>
      <c r="F90" s="225"/>
      <c r="G90" s="225"/>
      <c r="H90" s="233"/>
      <c r="I90" s="296"/>
      <c r="J90" s="9"/>
      <c r="K90" s="28" t="s">
        <v>35</v>
      </c>
      <c r="L90" s="82">
        <f>C94+B89+C129+D162+C134</f>
        <v>144</v>
      </c>
      <c r="R90" s="87"/>
      <c r="S90" s="681"/>
      <c r="T90" s="681"/>
      <c r="U90" s="681"/>
      <c r="V90" s="66"/>
      <c r="W90" s="633"/>
      <c r="X90" s="633"/>
      <c r="Y90" s="633"/>
      <c r="Z90" s="634"/>
      <c r="AA90" s="362"/>
    </row>
    <row r="91" spans="1:27" ht="30" customHeight="1">
      <c r="A91" s="671" t="s">
        <v>490</v>
      </c>
      <c r="B91" s="671"/>
      <c r="C91" s="671"/>
      <c r="D91" s="1" t="s">
        <v>121</v>
      </c>
      <c r="E91" s="63">
        <v>11.4</v>
      </c>
      <c r="F91" s="63">
        <v>14.9</v>
      </c>
      <c r="G91" s="63">
        <v>12.4</v>
      </c>
      <c r="H91" s="3">
        <f>E91*4+F91*9+G91*4</f>
        <v>229.29999999999998</v>
      </c>
      <c r="I91" s="294" t="s">
        <v>293</v>
      </c>
      <c r="J91" s="9"/>
      <c r="K91" s="28" t="s">
        <v>65</v>
      </c>
      <c r="L91" s="82">
        <f>C154+C98+C138</f>
        <v>14.3</v>
      </c>
      <c r="R91" s="87"/>
      <c r="S91" s="139"/>
      <c r="T91" s="379"/>
      <c r="U91" s="78"/>
      <c r="V91" s="78"/>
      <c r="W91" s="129"/>
      <c r="X91" s="129"/>
      <c r="Y91" s="129"/>
      <c r="Z91" s="78"/>
      <c r="AA91" s="370"/>
    </row>
    <row r="92" spans="1:27" ht="30" customHeight="1">
      <c r="A92" s="171" t="s">
        <v>397</v>
      </c>
      <c r="B92" s="126">
        <f>C92*1.054</f>
        <v>70.61800000000001</v>
      </c>
      <c r="C92" s="23">
        <v>67</v>
      </c>
      <c r="D92" s="282"/>
      <c r="E92" s="440"/>
      <c r="F92" s="440"/>
      <c r="G92" s="440"/>
      <c r="H92" s="539"/>
      <c r="I92" s="441"/>
      <c r="J92" s="9"/>
      <c r="K92" s="29" t="s">
        <v>66</v>
      </c>
      <c r="L92" s="82">
        <f>C120</f>
        <v>16.666666666666668</v>
      </c>
      <c r="R92" s="87"/>
      <c r="S92" s="136"/>
      <c r="T92" s="567"/>
      <c r="U92" s="78"/>
      <c r="V92" s="78"/>
      <c r="W92" s="568"/>
      <c r="X92" s="568"/>
      <c r="Y92" s="568"/>
      <c r="Z92" s="135"/>
      <c r="AA92" s="416"/>
    </row>
    <row r="93" spans="1:27" ht="30" customHeight="1">
      <c r="A93" s="54" t="s">
        <v>459</v>
      </c>
      <c r="B93" s="37">
        <f>C93*1.47</f>
        <v>98.49</v>
      </c>
      <c r="C93" s="170">
        <v>67</v>
      </c>
      <c r="D93" s="218"/>
      <c r="E93" s="218"/>
      <c r="F93" s="225"/>
      <c r="G93" s="218"/>
      <c r="H93" s="233"/>
      <c r="I93" s="218"/>
      <c r="J93" s="9"/>
      <c r="K93" s="29" t="s">
        <v>59</v>
      </c>
      <c r="L93" s="82">
        <f>C102</f>
        <v>64</v>
      </c>
      <c r="R93" s="87"/>
      <c r="S93" s="136"/>
      <c r="T93" s="74"/>
      <c r="U93" s="379"/>
      <c r="V93" s="76"/>
      <c r="W93" s="633"/>
      <c r="X93" s="633"/>
      <c r="Y93" s="633"/>
      <c r="Z93" s="531"/>
      <c r="AA93" s="356"/>
    </row>
    <row r="94" spans="1:27" ht="30" customHeight="1">
      <c r="A94" s="53" t="s">
        <v>42</v>
      </c>
      <c r="B94" s="22">
        <v>19</v>
      </c>
      <c r="C94" s="22">
        <v>19</v>
      </c>
      <c r="D94" s="218"/>
      <c r="E94" s="43"/>
      <c r="F94" s="43"/>
      <c r="G94" s="43"/>
      <c r="H94" s="26"/>
      <c r="I94" s="328"/>
      <c r="J94" s="9"/>
      <c r="K94" s="28" t="s">
        <v>22</v>
      </c>
      <c r="L94" s="82">
        <f>+C121+C141</f>
        <v>122</v>
      </c>
      <c r="R94" s="87"/>
      <c r="S94" s="139"/>
      <c r="T94" s="135"/>
      <c r="U94" s="78"/>
      <c r="V94" s="66"/>
      <c r="W94" s="129"/>
      <c r="X94" s="129"/>
      <c r="Y94" s="129"/>
      <c r="Z94" s="78"/>
      <c r="AA94" s="129"/>
    </row>
    <row r="95" spans="1:27" ht="30" customHeight="1">
      <c r="A95" s="106" t="s">
        <v>51</v>
      </c>
      <c r="B95" s="45">
        <f>C95*1.19</f>
        <v>10.709999999999999</v>
      </c>
      <c r="C95" s="45">
        <v>9</v>
      </c>
      <c r="D95" s="218"/>
      <c r="E95" s="50"/>
      <c r="F95" s="50"/>
      <c r="G95" s="50"/>
      <c r="H95" s="46"/>
      <c r="I95" s="231"/>
      <c r="J95" s="9"/>
      <c r="K95" s="28" t="s">
        <v>24</v>
      </c>
      <c r="L95" s="82">
        <f>C95+C111+C125+C127+C145+C149+C147+C148+C113+C115</f>
        <v>248</v>
      </c>
      <c r="R95" s="87"/>
      <c r="S95" s="139"/>
      <c r="T95" s="78"/>
      <c r="U95" s="78"/>
      <c r="V95" s="216"/>
      <c r="W95" s="129"/>
      <c r="X95" s="129"/>
      <c r="Y95" s="129"/>
      <c r="Z95" s="78"/>
      <c r="AA95" s="528"/>
    </row>
    <row r="96" spans="1:27" ht="30" customHeight="1">
      <c r="A96" s="20" t="s">
        <v>63</v>
      </c>
      <c r="B96" s="22">
        <v>20</v>
      </c>
      <c r="C96" s="22">
        <v>20</v>
      </c>
      <c r="D96" s="218"/>
      <c r="E96" s="43"/>
      <c r="F96" s="43"/>
      <c r="G96" s="43"/>
      <c r="H96" s="26"/>
      <c r="I96" s="328"/>
      <c r="J96" s="9"/>
      <c r="K96" s="28" t="s">
        <v>21</v>
      </c>
      <c r="L96" s="40">
        <f>+D108</f>
        <v>100</v>
      </c>
      <c r="R96" s="87"/>
      <c r="S96" s="139"/>
      <c r="T96" s="379"/>
      <c r="U96" s="78"/>
      <c r="V96" s="78"/>
      <c r="W96" s="129"/>
      <c r="X96" s="129"/>
      <c r="Y96" s="129"/>
      <c r="Z96" s="78"/>
      <c r="AA96" s="370"/>
    </row>
    <row r="97" spans="1:27" ht="30" customHeight="1">
      <c r="A97" s="25" t="s">
        <v>91</v>
      </c>
      <c r="B97" s="22">
        <v>7</v>
      </c>
      <c r="C97" s="22">
        <v>7</v>
      </c>
      <c r="D97" s="218"/>
      <c r="E97" s="43"/>
      <c r="F97" s="43"/>
      <c r="G97" s="43"/>
      <c r="H97" s="26"/>
      <c r="I97" s="328"/>
      <c r="J97" s="9"/>
      <c r="K97" s="28" t="s">
        <v>25</v>
      </c>
      <c r="L97" s="82"/>
      <c r="R97" s="87"/>
      <c r="S97" s="139"/>
      <c r="T97" s="379"/>
      <c r="U97" s="78"/>
      <c r="V97" s="78"/>
      <c r="W97" s="129"/>
      <c r="X97" s="129"/>
      <c r="Y97" s="129"/>
      <c r="Z97" s="78"/>
      <c r="AA97" s="370"/>
    </row>
    <row r="98" spans="1:27" ht="30" customHeight="1">
      <c r="A98" s="53" t="s">
        <v>54</v>
      </c>
      <c r="B98" s="22">
        <v>6</v>
      </c>
      <c r="C98" s="22">
        <v>6</v>
      </c>
      <c r="D98" s="218"/>
      <c r="E98" s="43"/>
      <c r="F98" s="43"/>
      <c r="G98" s="43"/>
      <c r="H98" s="26"/>
      <c r="I98" s="328"/>
      <c r="J98" s="11"/>
      <c r="K98" s="28" t="s">
        <v>61</v>
      </c>
      <c r="L98" s="80">
        <f>C155</f>
        <v>200</v>
      </c>
      <c r="R98" s="87"/>
      <c r="S98" s="139"/>
      <c r="T98" s="379"/>
      <c r="U98" s="78"/>
      <c r="V98" s="78"/>
      <c r="W98" s="129"/>
      <c r="X98" s="129"/>
      <c r="Y98" s="129"/>
      <c r="Z98" s="78"/>
      <c r="AA98" s="370"/>
    </row>
    <row r="99" spans="1:27" ht="30" customHeight="1">
      <c r="A99" s="20" t="s">
        <v>44</v>
      </c>
      <c r="B99" s="22">
        <v>2</v>
      </c>
      <c r="C99" s="22">
        <v>2</v>
      </c>
      <c r="D99" s="218"/>
      <c r="E99" s="43"/>
      <c r="F99" s="43"/>
      <c r="G99" s="43"/>
      <c r="H99" s="26"/>
      <c r="I99" s="328"/>
      <c r="J99" s="11"/>
      <c r="K99" s="28" t="s">
        <v>20</v>
      </c>
      <c r="L99" s="82">
        <f>C106</f>
        <v>10</v>
      </c>
      <c r="R99" s="87"/>
      <c r="S99" s="139"/>
      <c r="T99" s="379"/>
      <c r="U99" s="78"/>
      <c r="V99" s="78"/>
      <c r="W99" s="129"/>
      <c r="X99" s="129"/>
      <c r="Y99" s="129"/>
      <c r="Z99" s="78"/>
      <c r="AA99" s="370"/>
    </row>
    <row r="100" spans="1:27" ht="30" customHeight="1">
      <c r="A100" s="53" t="s">
        <v>70</v>
      </c>
      <c r="B100" s="23">
        <v>5</v>
      </c>
      <c r="C100" s="23">
        <v>5</v>
      </c>
      <c r="D100" s="23"/>
      <c r="E100" s="32"/>
      <c r="F100" s="32"/>
      <c r="G100" s="32"/>
      <c r="H100" s="45"/>
      <c r="I100" s="327"/>
      <c r="J100" s="91"/>
      <c r="K100" s="28" t="s">
        <v>26</v>
      </c>
      <c r="R100" s="87"/>
      <c r="S100" s="215"/>
      <c r="T100" s="379"/>
      <c r="U100" s="78"/>
      <c r="V100" s="78"/>
      <c r="W100" s="129"/>
      <c r="X100" s="129"/>
      <c r="Y100" s="129"/>
      <c r="Z100" s="78"/>
      <c r="AA100" s="370"/>
    </row>
    <row r="101" spans="1:27" ht="30.75" customHeight="1">
      <c r="A101" s="671" t="s">
        <v>312</v>
      </c>
      <c r="B101" s="671"/>
      <c r="C101" s="671"/>
      <c r="D101" s="632">
        <v>180</v>
      </c>
      <c r="E101" s="21">
        <v>3.8</v>
      </c>
      <c r="F101" s="21">
        <v>3.4</v>
      </c>
      <c r="G101" s="21">
        <v>41.1</v>
      </c>
      <c r="H101" s="238">
        <f>E101*4+F101*9+G101*4</f>
        <v>210.2</v>
      </c>
      <c r="I101" s="300" t="s">
        <v>223</v>
      </c>
      <c r="J101" s="91"/>
      <c r="K101" s="27" t="s">
        <v>79</v>
      </c>
      <c r="R101" s="87"/>
      <c r="S101" s="136"/>
      <c r="T101" s="74"/>
      <c r="U101" s="74"/>
      <c r="V101" s="78"/>
      <c r="W101" s="76"/>
      <c r="X101" s="76"/>
      <c r="Y101" s="76"/>
      <c r="Z101" s="74"/>
      <c r="AA101" s="382"/>
    </row>
    <row r="102" spans="1:12" ht="30.75" customHeight="1">
      <c r="A102" s="20" t="s">
        <v>392</v>
      </c>
      <c r="B102" s="26">
        <v>64</v>
      </c>
      <c r="C102" s="26">
        <v>64</v>
      </c>
      <c r="D102" s="632"/>
      <c r="E102" s="21"/>
      <c r="F102" s="21"/>
      <c r="G102" s="21"/>
      <c r="H102" s="238"/>
      <c r="I102" s="329"/>
      <c r="J102" s="8"/>
      <c r="K102" s="28" t="s">
        <v>27</v>
      </c>
      <c r="L102" s="81">
        <f>B105</f>
        <v>4</v>
      </c>
    </row>
    <row r="103" spans="1:12" ht="30.75" customHeight="1">
      <c r="A103" s="53" t="s">
        <v>70</v>
      </c>
      <c r="B103" s="23">
        <v>4</v>
      </c>
      <c r="C103" s="23">
        <v>4</v>
      </c>
      <c r="D103" s="23"/>
      <c r="E103" s="32"/>
      <c r="F103" s="32"/>
      <c r="G103" s="32"/>
      <c r="H103" s="45"/>
      <c r="I103" s="327"/>
      <c r="J103" s="8"/>
      <c r="K103" s="27" t="s">
        <v>199</v>
      </c>
      <c r="L103" s="262">
        <f>C105</f>
        <v>4</v>
      </c>
    </row>
    <row r="104" spans="1:12" ht="30.75" customHeight="1">
      <c r="A104" s="564" t="s">
        <v>300</v>
      </c>
      <c r="B104" s="564"/>
      <c r="C104" s="564"/>
      <c r="D104" s="632">
        <v>200</v>
      </c>
      <c r="E104" s="2">
        <v>2.3</v>
      </c>
      <c r="F104" s="21">
        <v>2.5</v>
      </c>
      <c r="G104" s="2">
        <v>14.8</v>
      </c>
      <c r="H104" s="238">
        <f>G104*4+F104*9+E104*4</f>
        <v>90.9</v>
      </c>
      <c r="I104" s="329" t="s">
        <v>301</v>
      </c>
      <c r="J104" s="9"/>
      <c r="K104" s="28" t="s">
        <v>67</v>
      </c>
      <c r="L104" s="82">
        <f>C119+C131+C132</f>
        <v>82</v>
      </c>
    </row>
    <row r="105" spans="1:12" ht="30.75" customHeight="1">
      <c r="A105" s="20" t="s">
        <v>199</v>
      </c>
      <c r="B105" s="22">
        <v>4</v>
      </c>
      <c r="C105" s="22">
        <v>4</v>
      </c>
      <c r="D105" s="632"/>
      <c r="E105" s="21"/>
      <c r="F105" s="21"/>
      <c r="G105" s="21"/>
      <c r="H105" s="238"/>
      <c r="I105" s="327"/>
      <c r="J105" s="9"/>
      <c r="K105" s="27" t="s">
        <v>200</v>
      </c>
      <c r="L105" s="263"/>
    </row>
    <row r="106" spans="1:12" ht="30.75" customHeight="1">
      <c r="A106" s="53" t="s">
        <v>39</v>
      </c>
      <c r="B106" s="23">
        <v>10</v>
      </c>
      <c r="C106" s="23">
        <v>10</v>
      </c>
      <c r="D106" s="632"/>
      <c r="E106" s="21"/>
      <c r="F106" s="21"/>
      <c r="G106" s="21"/>
      <c r="H106" s="238"/>
      <c r="I106" s="327"/>
      <c r="J106" s="9"/>
      <c r="K106" s="27" t="s">
        <v>62</v>
      </c>
      <c r="L106" s="82">
        <f>C92</f>
        <v>67</v>
      </c>
    </row>
    <row r="107" spans="1:12" ht="30.75" customHeight="1">
      <c r="A107" s="53" t="s">
        <v>302</v>
      </c>
      <c r="B107" s="23">
        <v>100</v>
      </c>
      <c r="C107" s="23">
        <v>100</v>
      </c>
      <c r="D107" s="632"/>
      <c r="E107" s="32"/>
      <c r="F107" s="32"/>
      <c r="G107" s="32"/>
      <c r="H107" s="45"/>
      <c r="I107" s="330"/>
      <c r="J107" s="9"/>
      <c r="K107" s="28" t="s">
        <v>28</v>
      </c>
      <c r="L107" s="82"/>
    </row>
    <row r="108" spans="1:12" ht="30.75" customHeight="1">
      <c r="A108" s="683" t="s">
        <v>239</v>
      </c>
      <c r="B108" s="683"/>
      <c r="C108" s="683"/>
      <c r="D108" s="4">
        <v>100</v>
      </c>
      <c r="E108" s="242">
        <v>0.2</v>
      </c>
      <c r="F108" s="242">
        <v>0</v>
      </c>
      <c r="G108" s="242">
        <v>10.1</v>
      </c>
      <c r="H108" s="3">
        <f>E108*4+F108*9+G108*4</f>
        <v>41.199999999999996</v>
      </c>
      <c r="I108" s="294" t="s">
        <v>240</v>
      </c>
      <c r="J108" s="9"/>
      <c r="K108" s="30" t="s">
        <v>29</v>
      </c>
      <c r="L108" s="82">
        <f>C96+C135+C107</f>
        <v>140</v>
      </c>
    </row>
    <row r="109" spans="1:12" ht="30.75" customHeight="1">
      <c r="A109" s="690" t="s">
        <v>205</v>
      </c>
      <c r="B109" s="690"/>
      <c r="C109" s="690"/>
      <c r="D109" s="243">
        <f>D110+280+D130+D140+D155</f>
        <v>860</v>
      </c>
      <c r="E109" s="71">
        <f>E110+E117+E130+E155++E160+E162+E140</f>
        <v>29.099999999999998</v>
      </c>
      <c r="F109" s="71">
        <f>F110+F117+F130+F155++F160+F162+F140</f>
        <v>29.240000000000002</v>
      </c>
      <c r="G109" s="71">
        <f>G110+G117+G130+G155++G160+G162+G140</f>
        <v>126.28</v>
      </c>
      <c r="H109" s="316">
        <f>H110+H117+H130+H155++H160+H162+H140</f>
        <v>884.68</v>
      </c>
      <c r="I109" s="293"/>
      <c r="J109" s="9"/>
      <c r="K109" s="72" t="s">
        <v>85</v>
      </c>
      <c r="L109" s="82"/>
    </row>
    <row r="110" spans="1:21" ht="30.75" customHeight="1">
      <c r="A110" s="671" t="s">
        <v>578</v>
      </c>
      <c r="B110" s="671"/>
      <c r="C110" s="671"/>
      <c r="D110" s="1">
        <v>100</v>
      </c>
      <c r="E110" s="21">
        <v>1</v>
      </c>
      <c r="F110" s="21">
        <v>5</v>
      </c>
      <c r="G110" s="21">
        <v>3.3</v>
      </c>
      <c r="H110" s="238">
        <f>E110*4+F110*9+G110*4</f>
        <v>62.2</v>
      </c>
      <c r="I110" s="297" t="s">
        <v>491</v>
      </c>
      <c r="J110" s="9"/>
      <c r="K110" s="27" t="s">
        <v>30</v>
      </c>
      <c r="L110" s="82"/>
      <c r="M110" s="91"/>
      <c r="N110" s="91"/>
      <c r="O110" s="91"/>
      <c r="P110" s="91"/>
      <c r="Q110" s="91"/>
      <c r="R110" s="91"/>
      <c r="S110" s="91"/>
      <c r="T110" s="91"/>
      <c r="U110" s="91"/>
    </row>
    <row r="111" spans="1:21" ht="30.75" customHeight="1">
      <c r="A111" s="25" t="s">
        <v>75</v>
      </c>
      <c r="B111" s="43">
        <f>C111*1.02</f>
        <v>35.7</v>
      </c>
      <c r="C111" s="22">
        <v>35</v>
      </c>
      <c r="D111" s="22"/>
      <c r="E111" s="43"/>
      <c r="F111" s="43"/>
      <c r="G111" s="43"/>
      <c r="H111" s="26"/>
      <c r="I111" s="44"/>
      <c r="J111" s="9"/>
      <c r="K111" s="27" t="s">
        <v>31</v>
      </c>
      <c r="L111" s="82">
        <f>C151</f>
        <v>15</v>
      </c>
      <c r="M111" s="714"/>
      <c r="N111" s="714"/>
      <c r="O111" s="714"/>
      <c r="P111" s="66"/>
      <c r="Q111" s="633"/>
      <c r="R111" s="633"/>
      <c r="S111" s="633"/>
      <c r="T111" s="178"/>
      <c r="U111" s="179"/>
    </row>
    <row r="112" spans="1:21" ht="30.75" customHeight="1">
      <c r="A112" s="100" t="s">
        <v>89</v>
      </c>
      <c r="B112" s="43">
        <f>C112*1.18</f>
        <v>41.3</v>
      </c>
      <c r="C112" s="22">
        <v>35</v>
      </c>
      <c r="D112" s="22"/>
      <c r="E112" s="32"/>
      <c r="F112" s="32"/>
      <c r="G112" s="38"/>
      <c r="H112" s="57"/>
      <c r="I112" s="65"/>
      <c r="J112" s="9"/>
      <c r="K112" s="28" t="s">
        <v>68</v>
      </c>
      <c r="L112" s="80">
        <f>C90</f>
        <v>20</v>
      </c>
      <c r="M112" s="180"/>
      <c r="N112" s="138"/>
      <c r="O112" s="74"/>
      <c r="P112" s="96"/>
      <c r="Q112" s="181"/>
      <c r="R112" s="181"/>
      <c r="S112" s="181"/>
      <c r="T112" s="182"/>
      <c r="U112" s="96"/>
    </row>
    <row r="113" spans="1:21" ht="30.75" customHeight="1">
      <c r="A113" s="25" t="s">
        <v>492</v>
      </c>
      <c r="B113" s="43">
        <f>C113*1.02</f>
        <v>56.1</v>
      </c>
      <c r="C113" s="22">
        <v>55</v>
      </c>
      <c r="D113" s="22"/>
      <c r="E113" s="32"/>
      <c r="F113" s="38"/>
      <c r="G113" s="38"/>
      <c r="H113" s="57"/>
      <c r="I113" s="65"/>
      <c r="J113" s="10"/>
      <c r="K113" s="27" t="s">
        <v>32</v>
      </c>
      <c r="L113" s="82">
        <f>B103+C128+C100+C153</f>
        <v>15.3</v>
      </c>
      <c r="M113" s="180"/>
      <c r="N113" s="138"/>
      <c r="O113" s="74"/>
      <c r="P113" s="96"/>
      <c r="Q113" s="181"/>
      <c r="R113" s="181"/>
      <c r="S113" s="181"/>
      <c r="T113" s="182"/>
      <c r="U113" s="96"/>
    </row>
    <row r="114" spans="1:21" ht="30.75" customHeight="1">
      <c r="A114" s="25" t="s">
        <v>114</v>
      </c>
      <c r="B114" s="43">
        <f>C114*1.05</f>
        <v>57.75</v>
      </c>
      <c r="C114" s="22">
        <v>55</v>
      </c>
      <c r="D114" s="22"/>
      <c r="E114" s="32"/>
      <c r="F114" s="38"/>
      <c r="G114" s="38"/>
      <c r="H114" s="57"/>
      <c r="I114" s="65"/>
      <c r="J114" s="10"/>
      <c r="K114" s="27" t="s">
        <v>23</v>
      </c>
      <c r="L114" s="82">
        <f>B99+C139+C150+C116</f>
        <v>14</v>
      </c>
      <c r="M114" s="180"/>
      <c r="N114" s="138"/>
      <c r="O114" s="74"/>
      <c r="P114" s="96"/>
      <c r="Q114" s="181"/>
      <c r="R114" s="129"/>
      <c r="S114" s="129"/>
      <c r="T114" s="74"/>
      <c r="U114" s="183"/>
    </row>
    <row r="115" spans="1:21" ht="30.75" customHeight="1">
      <c r="A115" s="100" t="s">
        <v>51</v>
      </c>
      <c r="B115" s="50">
        <f>C115*1.19</f>
        <v>7.14</v>
      </c>
      <c r="C115" s="46">
        <v>6</v>
      </c>
      <c r="D115" s="22"/>
      <c r="E115" s="50"/>
      <c r="F115" s="50"/>
      <c r="G115" s="50"/>
      <c r="H115" s="47"/>
      <c r="I115" s="509"/>
      <c r="J115" s="10"/>
      <c r="K115" s="28" t="s">
        <v>33</v>
      </c>
      <c r="L115" s="82">
        <f>C97+C137</f>
        <v>42</v>
      </c>
      <c r="M115" s="184"/>
      <c r="N115" s="138"/>
      <c r="O115" s="74"/>
      <c r="P115" s="96"/>
      <c r="Q115" s="181"/>
      <c r="R115" s="129"/>
      <c r="S115" s="129"/>
      <c r="T115" s="74"/>
      <c r="U115" s="183"/>
    </row>
    <row r="116" spans="1:21" ht="30.75" customHeight="1">
      <c r="A116" s="100" t="s">
        <v>44</v>
      </c>
      <c r="B116" s="47">
        <v>5</v>
      </c>
      <c r="C116" s="47">
        <v>5</v>
      </c>
      <c r="D116" s="22"/>
      <c r="E116" s="50"/>
      <c r="F116" s="50"/>
      <c r="G116" s="50"/>
      <c r="H116" s="47"/>
      <c r="I116" s="509"/>
      <c r="J116" s="10"/>
      <c r="K116" s="28" t="s">
        <v>78</v>
      </c>
      <c r="L116" s="81"/>
      <c r="M116" s="180"/>
      <c r="N116" s="138"/>
      <c r="O116" s="74"/>
      <c r="P116" s="96"/>
      <c r="Q116" s="181"/>
      <c r="R116" s="129"/>
      <c r="S116" s="129"/>
      <c r="T116" s="74"/>
      <c r="U116" s="183"/>
    </row>
    <row r="117" spans="1:21" ht="30.75" customHeight="1">
      <c r="A117" s="683" t="s">
        <v>336</v>
      </c>
      <c r="B117" s="683"/>
      <c r="C117" s="683"/>
      <c r="D117" s="632" t="s">
        <v>335</v>
      </c>
      <c r="E117" s="21">
        <v>5.1</v>
      </c>
      <c r="F117" s="21">
        <v>4.8</v>
      </c>
      <c r="G117" s="21">
        <v>30.2</v>
      </c>
      <c r="H117" s="238">
        <f>E117*4+F117*9+G117*4</f>
        <v>184.39999999999998</v>
      </c>
      <c r="I117" s="300" t="s">
        <v>249</v>
      </c>
      <c r="J117" s="10"/>
      <c r="K117" s="264" t="s">
        <v>193</v>
      </c>
      <c r="M117" s="180"/>
      <c r="N117" s="185"/>
      <c r="O117" s="186"/>
      <c r="P117" s="99"/>
      <c r="Q117" s="94"/>
      <c r="R117" s="187"/>
      <c r="S117" s="187"/>
      <c r="T117" s="186"/>
      <c r="U117" s="188"/>
    </row>
    <row r="118" spans="1:21" ht="28.5" customHeight="1">
      <c r="A118" s="132" t="s">
        <v>45</v>
      </c>
      <c r="B118" s="37">
        <f>C118*1.36</f>
        <v>21.76</v>
      </c>
      <c r="C118" s="33">
        <v>16</v>
      </c>
      <c r="D118" s="398"/>
      <c r="E118" s="402"/>
      <c r="F118" s="402"/>
      <c r="G118" s="402"/>
      <c r="H118" s="316"/>
      <c r="I118" s="402"/>
      <c r="J118" s="10"/>
      <c r="M118" s="180"/>
      <c r="N118" s="189"/>
      <c r="O118" s="190"/>
      <c r="P118" s="99"/>
      <c r="Q118" s="94"/>
      <c r="R118" s="94"/>
      <c r="S118" s="94"/>
      <c r="T118" s="191"/>
      <c r="U118" s="192"/>
    </row>
    <row r="119" spans="1:21" ht="28.5" customHeight="1">
      <c r="A119" s="54" t="s">
        <v>46</v>
      </c>
      <c r="B119" s="37">
        <f>C119*1.18</f>
        <v>18.88</v>
      </c>
      <c r="C119" s="33">
        <f>C118</f>
        <v>16</v>
      </c>
      <c r="D119" s="398"/>
      <c r="E119" s="399"/>
      <c r="F119" s="399"/>
      <c r="G119" s="399"/>
      <c r="H119" s="316"/>
      <c r="I119" s="399"/>
      <c r="J119" s="10"/>
      <c r="M119" s="180"/>
      <c r="N119" s="138"/>
      <c r="O119" s="74"/>
      <c r="P119" s="96"/>
      <c r="Q119" s="181"/>
      <c r="R119" s="181"/>
      <c r="S119" s="181"/>
      <c r="T119" s="182"/>
      <c r="U119" s="193"/>
    </row>
    <row r="120" spans="1:21" ht="28.5" customHeight="1">
      <c r="A120" s="59" t="s">
        <v>213</v>
      </c>
      <c r="B120" s="33">
        <v>17.2</v>
      </c>
      <c r="C120" s="24">
        <v>16.666666666666668</v>
      </c>
      <c r="D120" s="632"/>
      <c r="E120" s="21"/>
      <c r="F120" s="21"/>
      <c r="G120" s="21"/>
      <c r="H120" s="238"/>
      <c r="I120" s="299"/>
      <c r="J120" s="10"/>
      <c r="M120" s="180"/>
      <c r="N120" s="138"/>
      <c r="O120" s="74"/>
      <c r="P120" s="96"/>
      <c r="Q120" s="181"/>
      <c r="R120" s="181"/>
      <c r="S120" s="181"/>
      <c r="T120" s="182"/>
      <c r="U120" s="193"/>
    </row>
    <row r="121" spans="1:21" ht="28.5" customHeight="1">
      <c r="A121" s="89" t="s">
        <v>47</v>
      </c>
      <c r="B121" s="57">
        <f>C121*1.33</f>
        <v>82.46000000000001</v>
      </c>
      <c r="C121" s="24">
        <v>62</v>
      </c>
      <c r="D121" s="58"/>
      <c r="E121" s="38"/>
      <c r="F121" s="38"/>
      <c r="G121" s="38"/>
      <c r="H121" s="57"/>
      <c r="I121" s="309"/>
      <c r="J121" s="10"/>
      <c r="M121" s="91"/>
      <c r="N121" s="91"/>
      <c r="O121" s="91"/>
      <c r="P121" s="91"/>
      <c r="Q121" s="91"/>
      <c r="R121" s="91"/>
      <c r="S121" s="91"/>
      <c r="T121" s="91"/>
      <c r="U121" s="91"/>
    </row>
    <row r="122" spans="1:10" ht="28.5" customHeight="1">
      <c r="A122" s="89" t="s">
        <v>48</v>
      </c>
      <c r="B122" s="57">
        <f>C122*1.43</f>
        <v>88.66</v>
      </c>
      <c r="C122" s="24">
        <v>62</v>
      </c>
      <c r="D122" s="58"/>
      <c r="E122" s="38"/>
      <c r="F122" s="38"/>
      <c r="G122" s="38"/>
      <c r="H122" s="57"/>
      <c r="I122" s="309"/>
      <c r="J122" s="10"/>
    </row>
    <row r="123" spans="1:10" ht="28.5" customHeight="1">
      <c r="A123" s="100" t="s">
        <v>49</v>
      </c>
      <c r="B123" s="57">
        <f>C123*1.54</f>
        <v>95.48</v>
      </c>
      <c r="C123" s="24">
        <v>62</v>
      </c>
      <c r="D123" s="58"/>
      <c r="E123" s="38"/>
      <c r="F123" s="38"/>
      <c r="G123" s="38"/>
      <c r="H123" s="57"/>
      <c r="I123" s="309"/>
      <c r="J123" s="10"/>
    </row>
    <row r="124" spans="1:10" ht="28.5" customHeight="1">
      <c r="A124" s="100" t="s">
        <v>50</v>
      </c>
      <c r="B124" s="57">
        <f>C124*1.67</f>
        <v>103.53999999999999</v>
      </c>
      <c r="C124" s="24">
        <v>62</v>
      </c>
      <c r="D124" s="58"/>
      <c r="E124" s="38"/>
      <c r="F124" s="38"/>
      <c r="G124" s="38"/>
      <c r="H124" s="57"/>
      <c r="I124" s="309"/>
      <c r="J124" s="10"/>
    </row>
    <row r="125" spans="1:10" ht="28.5" customHeight="1">
      <c r="A125" s="53" t="s">
        <v>112</v>
      </c>
      <c r="B125" s="38">
        <f>C125*1.25</f>
        <v>12.5</v>
      </c>
      <c r="C125" s="58">
        <v>10</v>
      </c>
      <c r="D125" s="58"/>
      <c r="E125" s="38"/>
      <c r="F125" s="38"/>
      <c r="G125" s="38"/>
      <c r="H125" s="57"/>
      <c r="I125" s="309"/>
      <c r="J125" s="10"/>
    </row>
    <row r="126" spans="1:21" s="40" customFormat="1" ht="28.5" customHeight="1">
      <c r="A126" s="59" t="s">
        <v>43</v>
      </c>
      <c r="B126" s="38">
        <f>C126*1.33</f>
        <v>13.3</v>
      </c>
      <c r="C126" s="58">
        <v>10</v>
      </c>
      <c r="D126" s="58"/>
      <c r="E126" s="38"/>
      <c r="F126" s="38"/>
      <c r="G126" s="38"/>
      <c r="H126" s="57"/>
      <c r="I126" s="309"/>
      <c r="J126" s="10"/>
      <c r="M126" s="80"/>
      <c r="N126" s="80"/>
      <c r="O126" s="80"/>
      <c r="P126" s="80"/>
      <c r="Q126" s="80"/>
      <c r="R126" s="80"/>
      <c r="S126" s="80"/>
      <c r="T126" s="80"/>
      <c r="U126" s="80"/>
    </row>
    <row r="127" spans="1:10" ht="28.5" customHeight="1">
      <c r="A127" s="89" t="s">
        <v>51</v>
      </c>
      <c r="B127" s="57">
        <f>C127*1.19</f>
        <v>15.469999999999999</v>
      </c>
      <c r="C127" s="58">
        <v>13</v>
      </c>
      <c r="D127" s="58"/>
      <c r="E127" s="38"/>
      <c r="F127" s="38"/>
      <c r="G127" s="38"/>
      <c r="H127" s="57"/>
      <c r="I127" s="309"/>
      <c r="J127" s="10"/>
    </row>
    <row r="128" spans="1:10" ht="28.5" customHeight="1">
      <c r="A128" s="89" t="s">
        <v>70</v>
      </c>
      <c r="B128" s="64">
        <v>5</v>
      </c>
      <c r="C128" s="61">
        <v>5</v>
      </c>
      <c r="D128" s="58"/>
      <c r="E128" s="38"/>
      <c r="F128" s="38"/>
      <c r="G128" s="38"/>
      <c r="H128" s="57"/>
      <c r="I128" s="309"/>
      <c r="J128" s="10"/>
    </row>
    <row r="129" spans="1:10" ht="28.5" customHeight="1">
      <c r="A129" s="59" t="s">
        <v>42</v>
      </c>
      <c r="B129" s="24">
        <v>37</v>
      </c>
      <c r="C129" s="24">
        <v>31</v>
      </c>
      <c r="D129" s="58"/>
      <c r="E129" s="38"/>
      <c r="F129" s="106"/>
      <c r="G129" s="57"/>
      <c r="H129" s="57"/>
      <c r="I129" s="309"/>
      <c r="J129" s="10"/>
    </row>
    <row r="130" spans="1:10" ht="28.5" customHeight="1">
      <c r="A130" s="685" t="s">
        <v>454</v>
      </c>
      <c r="B130" s="686"/>
      <c r="C130" s="686"/>
      <c r="D130" s="4">
        <v>100</v>
      </c>
      <c r="E130" s="222">
        <v>14.8</v>
      </c>
      <c r="F130" s="222">
        <v>9.3</v>
      </c>
      <c r="G130" s="222">
        <v>8.9</v>
      </c>
      <c r="H130" s="465">
        <f>G130*4+F130*9+E130*4</f>
        <v>178.5</v>
      </c>
      <c r="I130" s="320" t="s">
        <v>436</v>
      </c>
      <c r="J130" s="10"/>
    </row>
    <row r="131" spans="1:21" ht="28.5" customHeight="1">
      <c r="A131" s="132" t="s">
        <v>328</v>
      </c>
      <c r="B131" s="37">
        <f>C131*1.17</f>
        <v>38.61</v>
      </c>
      <c r="C131" s="46">
        <v>33</v>
      </c>
      <c r="D131" s="4"/>
      <c r="E131" s="222"/>
      <c r="F131" s="222"/>
      <c r="G131" s="222"/>
      <c r="H131" s="465"/>
      <c r="I131" s="320"/>
      <c r="J131" s="39"/>
      <c r="M131" s="40"/>
      <c r="N131" s="40"/>
      <c r="O131" s="40"/>
      <c r="P131" s="40"/>
      <c r="Q131" s="40"/>
      <c r="R131" s="40"/>
      <c r="S131" s="40"/>
      <c r="T131" s="40"/>
      <c r="U131" s="40"/>
    </row>
    <row r="132" spans="1:10" ht="28.5" customHeight="1">
      <c r="A132" s="54" t="s">
        <v>45</v>
      </c>
      <c r="B132" s="37">
        <f>C132*1.36</f>
        <v>44.88</v>
      </c>
      <c r="C132" s="46">
        <v>33</v>
      </c>
      <c r="D132" s="38"/>
      <c r="E132" s="38"/>
      <c r="F132" s="38"/>
      <c r="G132" s="38"/>
      <c r="H132" s="57"/>
      <c r="I132" s="324"/>
      <c r="J132" s="10"/>
    </row>
    <row r="133" spans="1:10" ht="28.5" customHeight="1">
      <c r="A133" s="132" t="s">
        <v>46</v>
      </c>
      <c r="B133" s="37">
        <f>C133*1.18</f>
        <v>38.94</v>
      </c>
      <c r="C133" s="46">
        <v>33</v>
      </c>
      <c r="D133" s="632"/>
      <c r="E133" s="21"/>
      <c r="F133" s="21"/>
      <c r="G133" s="21"/>
      <c r="H133" s="238"/>
      <c r="I133" s="432"/>
      <c r="J133" s="10"/>
    </row>
    <row r="134" spans="1:10" ht="28.5" customHeight="1">
      <c r="A134" s="25" t="s">
        <v>42</v>
      </c>
      <c r="B134" s="26">
        <v>14</v>
      </c>
      <c r="C134" s="46">
        <v>14</v>
      </c>
      <c r="D134" s="50"/>
      <c r="E134" s="50"/>
      <c r="F134" s="50"/>
      <c r="G134" s="50"/>
      <c r="H134" s="46"/>
      <c r="I134" s="468"/>
      <c r="J134" s="10"/>
    </row>
    <row r="135" spans="1:10" ht="28.5" customHeight="1">
      <c r="A135" s="100" t="s">
        <v>63</v>
      </c>
      <c r="B135" s="47">
        <v>20</v>
      </c>
      <c r="C135" s="47">
        <v>20</v>
      </c>
      <c r="D135" s="50"/>
      <c r="E135" s="50"/>
      <c r="F135" s="50"/>
      <c r="G135" s="50"/>
      <c r="H135" s="46"/>
      <c r="I135" s="425"/>
      <c r="J135" s="10"/>
    </row>
    <row r="136" spans="1:10" ht="28.5" customHeight="1">
      <c r="A136" s="100" t="s">
        <v>437</v>
      </c>
      <c r="B136" s="47"/>
      <c r="C136" s="47">
        <v>95</v>
      </c>
      <c r="D136" s="50"/>
      <c r="E136" s="50"/>
      <c r="F136" s="50"/>
      <c r="G136" s="50"/>
      <c r="H136" s="46"/>
      <c r="I136" s="425"/>
      <c r="J136" s="10"/>
    </row>
    <row r="137" spans="1:10" ht="28.5" customHeight="1">
      <c r="A137" s="25" t="s">
        <v>438</v>
      </c>
      <c r="B137" s="47">
        <v>35</v>
      </c>
      <c r="C137" s="47">
        <v>35</v>
      </c>
      <c r="D137" s="50"/>
      <c r="E137" s="50"/>
      <c r="F137" s="50"/>
      <c r="G137" s="50"/>
      <c r="H137" s="46"/>
      <c r="I137" s="425"/>
      <c r="J137" s="9"/>
    </row>
    <row r="138" spans="1:10" ht="28.5" customHeight="1">
      <c r="A138" s="25" t="s">
        <v>54</v>
      </c>
      <c r="B138" s="47">
        <v>7</v>
      </c>
      <c r="C138" s="47">
        <v>7</v>
      </c>
      <c r="D138" s="50"/>
      <c r="E138" s="50"/>
      <c r="F138" s="50"/>
      <c r="G138" s="50"/>
      <c r="H138" s="46"/>
      <c r="I138" s="425"/>
      <c r="J138" s="92"/>
    </row>
    <row r="139" spans="1:10" ht="28.5" customHeight="1">
      <c r="A139" s="25" t="s">
        <v>117</v>
      </c>
      <c r="B139" s="46">
        <v>2</v>
      </c>
      <c r="C139" s="46">
        <v>2</v>
      </c>
      <c r="D139" s="50"/>
      <c r="E139" s="50"/>
      <c r="F139" s="50"/>
      <c r="G139" s="50"/>
      <c r="H139" s="46"/>
      <c r="I139" s="425"/>
      <c r="J139" s="92"/>
    </row>
    <row r="140" spans="1:25" ht="28.5" customHeight="1">
      <c r="A140" s="675" t="s">
        <v>493</v>
      </c>
      <c r="B140" s="675"/>
      <c r="C140" s="675"/>
      <c r="D140" s="632">
        <v>180</v>
      </c>
      <c r="E140" s="21">
        <v>3.12</v>
      </c>
      <c r="F140" s="21">
        <v>8.9</v>
      </c>
      <c r="G140" s="21">
        <v>14.1</v>
      </c>
      <c r="H140" s="238">
        <f>E140*4+F140*9+G140*4</f>
        <v>148.98000000000002</v>
      </c>
      <c r="I140" s="300" t="s">
        <v>537</v>
      </c>
      <c r="J140" s="92"/>
      <c r="Q140" s="680"/>
      <c r="R140" s="680"/>
      <c r="S140" s="680"/>
      <c r="T140" s="66"/>
      <c r="U140" s="633"/>
      <c r="V140" s="633"/>
      <c r="W140" s="633"/>
      <c r="X140" s="634"/>
      <c r="Y140" s="362"/>
    </row>
    <row r="141" spans="1:25" ht="28.5" customHeight="1">
      <c r="A141" s="20" t="s">
        <v>47</v>
      </c>
      <c r="B141" s="45">
        <f>C141*1.33</f>
        <v>79.80000000000001</v>
      </c>
      <c r="C141" s="26">
        <v>60</v>
      </c>
      <c r="D141" s="22"/>
      <c r="E141" s="32"/>
      <c r="F141" s="32"/>
      <c r="G141" s="32"/>
      <c r="H141" s="32"/>
      <c r="I141" s="288"/>
      <c r="J141" s="92"/>
      <c r="Q141" s="139"/>
      <c r="R141" s="379"/>
      <c r="S141" s="74"/>
      <c r="T141" s="216"/>
      <c r="U141" s="214"/>
      <c r="V141" s="214"/>
      <c r="W141" s="214"/>
      <c r="X141" s="78"/>
      <c r="Y141" s="356"/>
    </row>
    <row r="142" spans="1:25" ht="28.5" customHeight="1">
      <c r="A142" s="20" t="s">
        <v>48</v>
      </c>
      <c r="B142" s="45">
        <f>C142*1.43</f>
        <v>85.8</v>
      </c>
      <c r="C142" s="26">
        <v>60</v>
      </c>
      <c r="D142" s="22"/>
      <c r="E142" s="32"/>
      <c r="F142" s="32"/>
      <c r="G142" s="32"/>
      <c r="H142" s="32"/>
      <c r="I142" s="288"/>
      <c r="J142" s="92"/>
      <c r="Q142" s="139"/>
      <c r="R142" s="379"/>
      <c r="S142" s="74"/>
      <c r="T142" s="523"/>
      <c r="U142" s="524"/>
      <c r="V142" s="524"/>
      <c r="W142" s="524"/>
      <c r="X142" s="569"/>
      <c r="Y142" s="356"/>
    </row>
    <row r="143" spans="1:25" ht="28.5" customHeight="1">
      <c r="A143" s="20" t="s">
        <v>49</v>
      </c>
      <c r="B143" s="45">
        <f>C143*1.54</f>
        <v>92.4</v>
      </c>
      <c r="C143" s="26">
        <v>60</v>
      </c>
      <c r="D143" s="22"/>
      <c r="E143" s="32"/>
      <c r="F143" s="32"/>
      <c r="G143" s="32"/>
      <c r="H143" s="23"/>
      <c r="I143" s="288"/>
      <c r="J143" s="92"/>
      <c r="Q143" s="200"/>
      <c r="R143" s="379"/>
      <c r="S143" s="74"/>
      <c r="T143" s="523"/>
      <c r="U143" s="524"/>
      <c r="V143" s="524"/>
      <c r="W143" s="524"/>
      <c r="X143" s="569"/>
      <c r="Y143" s="356"/>
    </row>
    <row r="144" spans="1:25" ht="28.5" customHeight="1">
      <c r="A144" s="20" t="s">
        <v>50</v>
      </c>
      <c r="B144" s="45">
        <f>C144*1.67</f>
        <v>100.19999999999999</v>
      </c>
      <c r="C144" s="26">
        <v>60</v>
      </c>
      <c r="D144" s="22"/>
      <c r="E144" s="32"/>
      <c r="F144" s="32"/>
      <c r="G144" s="32"/>
      <c r="H144" s="23"/>
      <c r="I144" s="288"/>
      <c r="J144" s="92"/>
      <c r="Q144" s="346"/>
      <c r="R144" s="135"/>
      <c r="S144" s="216"/>
      <c r="T144" s="566"/>
      <c r="U144" s="570"/>
      <c r="V144" s="216"/>
      <c r="W144" s="216"/>
      <c r="X144" s="78"/>
      <c r="Y144" s="571"/>
    </row>
    <row r="145" spans="1:25" ht="28.5" customHeight="1">
      <c r="A145" s="100" t="s">
        <v>488</v>
      </c>
      <c r="B145" s="26">
        <f>C145*1.25</f>
        <v>37.5</v>
      </c>
      <c r="C145" s="22">
        <v>30</v>
      </c>
      <c r="D145" s="22"/>
      <c r="E145" s="32"/>
      <c r="F145" s="32"/>
      <c r="G145" s="32"/>
      <c r="H145" s="23"/>
      <c r="I145" s="509"/>
      <c r="J145" s="92"/>
      <c r="Q145" s="136"/>
      <c r="R145" s="79"/>
      <c r="S145" s="79"/>
      <c r="T145" s="79"/>
      <c r="U145" s="76"/>
      <c r="V145" s="76"/>
      <c r="W145" s="76"/>
      <c r="X145" s="74"/>
      <c r="Y145" s="572"/>
    </row>
    <row r="146" spans="1:25" ht="28.5" customHeight="1">
      <c r="A146" s="115" t="s">
        <v>43</v>
      </c>
      <c r="B146" s="45">
        <f>C146*1.33</f>
        <v>39.900000000000006</v>
      </c>
      <c r="C146" s="22">
        <v>30</v>
      </c>
      <c r="D146" s="22"/>
      <c r="E146" s="32"/>
      <c r="F146" s="21"/>
      <c r="G146" s="21"/>
      <c r="H146" s="632"/>
      <c r="I146" s="588"/>
      <c r="J146" s="92"/>
      <c r="Q146" s="136"/>
      <c r="R146" s="79"/>
      <c r="S146" s="79"/>
      <c r="T146" s="79"/>
      <c r="U146" s="76"/>
      <c r="V146" s="76"/>
      <c r="W146" s="76"/>
      <c r="X146" s="74"/>
      <c r="Y146" s="572"/>
    </row>
    <row r="147" spans="1:25" ht="28.5" customHeight="1">
      <c r="A147" s="53" t="s">
        <v>51</v>
      </c>
      <c r="B147" s="45">
        <f>C147*1.19</f>
        <v>17.849999999999998</v>
      </c>
      <c r="C147" s="23">
        <v>15</v>
      </c>
      <c r="D147" s="22"/>
      <c r="E147" s="32"/>
      <c r="F147" s="21"/>
      <c r="G147" s="21"/>
      <c r="H147" s="632"/>
      <c r="I147" s="588"/>
      <c r="J147" s="92"/>
      <c r="Q147" s="136"/>
      <c r="R147" s="129"/>
      <c r="S147" s="216"/>
      <c r="T147" s="79"/>
      <c r="U147" s="76"/>
      <c r="V147" s="76"/>
      <c r="W147" s="76"/>
      <c r="X147" s="74"/>
      <c r="Y147" s="572"/>
    </row>
    <row r="148" spans="1:25" ht="28.5" customHeight="1">
      <c r="A148" s="100" t="s">
        <v>494</v>
      </c>
      <c r="B148" s="45">
        <f>C148*1.49</f>
        <v>96.85</v>
      </c>
      <c r="C148" s="45">
        <v>65</v>
      </c>
      <c r="D148" s="22"/>
      <c r="E148" s="32"/>
      <c r="F148" s="32"/>
      <c r="G148" s="32"/>
      <c r="H148" s="23"/>
      <c r="I148" s="509"/>
      <c r="J148" s="92"/>
      <c r="Q148" s="136"/>
      <c r="R148" s="74"/>
      <c r="S148" s="74"/>
      <c r="T148" s="79"/>
      <c r="U148" s="76"/>
      <c r="V148" s="76"/>
      <c r="W148" s="76"/>
      <c r="X148" s="74"/>
      <c r="Y148" s="382"/>
    </row>
    <row r="149" spans="1:10" ht="28.5" customHeight="1">
      <c r="A149" s="100" t="s">
        <v>538</v>
      </c>
      <c r="B149" s="45">
        <f>C149*1.54</f>
        <v>15.4</v>
      </c>
      <c r="C149" s="45">
        <v>10</v>
      </c>
      <c r="D149" s="22"/>
      <c r="E149" s="32"/>
      <c r="F149" s="32"/>
      <c r="G149" s="32"/>
      <c r="H149" s="23"/>
      <c r="I149" s="509"/>
      <c r="J149" s="92"/>
    </row>
    <row r="150" spans="1:10" ht="28.5" customHeight="1">
      <c r="A150" s="53" t="s">
        <v>44</v>
      </c>
      <c r="B150" s="45">
        <v>5</v>
      </c>
      <c r="C150" s="45">
        <v>5</v>
      </c>
      <c r="D150" s="22"/>
      <c r="E150" s="32"/>
      <c r="F150" s="32"/>
      <c r="G150" s="32"/>
      <c r="H150" s="32"/>
      <c r="I150" s="32"/>
      <c r="J150" s="92"/>
    </row>
    <row r="151" spans="1:10" ht="28.5" customHeight="1">
      <c r="A151" s="53" t="s">
        <v>52</v>
      </c>
      <c r="B151" s="45">
        <v>15</v>
      </c>
      <c r="C151" s="45">
        <v>15</v>
      </c>
      <c r="D151" s="22"/>
      <c r="E151" s="32"/>
      <c r="F151" s="32"/>
      <c r="G151" s="32"/>
      <c r="H151" s="32"/>
      <c r="I151" s="300"/>
      <c r="J151" s="92"/>
    </row>
    <row r="152" spans="1:10" ht="28.5" customHeight="1">
      <c r="A152" s="53" t="s">
        <v>60</v>
      </c>
      <c r="B152" s="45">
        <v>40</v>
      </c>
      <c r="C152" s="45">
        <v>40</v>
      </c>
      <c r="D152" s="22"/>
      <c r="E152" s="32"/>
      <c r="F152" s="32"/>
      <c r="G152" s="32"/>
      <c r="H152" s="32"/>
      <c r="I152" s="32"/>
      <c r="J152" s="92"/>
    </row>
    <row r="153" spans="1:10" ht="28.5" customHeight="1">
      <c r="A153" s="53" t="s">
        <v>70</v>
      </c>
      <c r="B153" s="32">
        <v>1.3</v>
      </c>
      <c r="C153" s="32">
        <v>1.3</v>
      </c>
      <c r="D153" s="22"/>
      <c r="E153" s="32"/>
      <c r="F153" s="32"/>
      <c r="G153" s="32"/>
      <c r="H153" s="32"/>
      <c r="I153" s="32"/>
      <c r="J153" s="92"/>
    </row>
    <row r="154" spans="1:10" ht="28.5" customHeight="1">
      <c r="A154" s="53" t="s">
        <v>54</v>
      </c>
      <c r="B154" s="32">
        <v>1.3</v>
      </c>
      <c r="C154" s="32">
        <v>1.3</v>
      </c>
      <c r="D154" s="22"/>
      <c r="E154" s="589"/>
      <c r="F154" s="589"/>
      <c r="G154" s="589"/>
      <c r="H154" s="589"/>
      <c r="I154" s="590"/>
      <c r="J154" s="92"/>
    </row>
    <row r="155" spans="1:10" ht="28.5" customHeight="1">
      <c r="A155" s="278" t="s">
        <v>278</v>
      </c>
      <c r="B155" s="1">
        <v>200</v>
      </c>
      <c r="C155" s="1">
        <v>200</v>
      </c>
      <c r="D155" s="1">
        <v>200</v>
      </c>
      <c r="E155" s="2">
        <v>0.2</v>
      </c>
      <c r="F155" s="2">
        <v>0</v>
      </c>
      <c r="G155" s="2">
        <v>28</v>
      </c>
      <c r="H155" s="3">
        <f>E155*4+F155*9+G155*4</f>
        <v>112.8</v>
      </c>
      <c r="I155" s="321" t="s">
        <v>279</v>
      </c>
      <c r="J155" s="92"/>
    </row>
    <row r="156" spans="1:10" ht="28.5" customHeight="1">
      <c r="A156" s="692" t="s">
        <v>95</v>
      </c>
      <c r="B156" s="692"/>
      <c r="C156" s="692"/>
      <c r="D156" s="692"/>
      <c r="E156" s="692"/>
      <c r="F156" s="692"/>
      <c r="G156" s="692"/>
      <c r="H156" s="692"/>
      <c r="I156" s="692"/>
      <c r="J156" s="92"/>
    </row>
    <row r="157" spans="1:10" ht="28.5" customHeight="1">
      <c r="A157" s="701" t="s">
        <v>235</v>
      </c>
      <c r="B157" s="701"/>
      <c r="C157" s="701"/>
      <c r="D157" s="4">
        <v>200</v>
      </c>
      <c r="E157" s="222">
        <v>0.8</v>
      </c>
      <c r="F157" s="222">
        <v>0</v>
      </c>
      <c r="G157" s="222">
        <v>27.2</v>
      </c>
      <c r="H157" s="105">
        <f>G157*4+F157*9+E157*4</f>
        <v>112</v>
      </c>
      <c r="I157" s="294" t="s">
        <v>236</v>
      </c>
      <c r="J157" s="92"/>
    </row>
    <row r="158" spans="1:16" ht="28.5" customHeight="1">
      <c r="A158" s="20" t="s">
        <v>210</v>
      </c>
      <c r="B158" s="23">
        <v>20</v>
      </c>
      <c r="C158" s="22">
        <v>20</v>
      </c>
      <c r="D158" s="22"/>
      <c r="E158" s="43"/>
      <c r="F158" s="43"/>
      <c r="G158" s="43"/>
      <c r="H158" s="26"/>
      <c r="I158" s="294"/>
      <c r="J158" s="10"/>
      <c r="P158" s="91"/>
    </row>
    <row r="159" spans="1:16" ht="28.5" customHeight="1">
      <c r="A159" s="20" t="s">
        <v>39</v>
      </c>
      <c r="B159" s="22">
        <v>15</v>
      </c>
      <c r="C159" s="22">
        <v>15</v>
      </c>
      <c r="D159" s="22"/>
      <c r="E159" s="43"/>
      <c r="F159" s="43"/>
      <c r="G159" s="43"/>
      <c r="H159" s="26"/>
      <c r="I159" s="294"/>
      <c r="J159" s="10"/>
      <c r="P159" s="91"/>
    </row>
    <row r="160" spans="1:16" ht="28.5" customHeight="1">
      <c r="A160" s="674" t="s">
        <v>34</v>
      </c>
      <c r="B160" s="674"/>
      <c r="C160" s="674"/>
      <c r="D160" s="1">
        <v>40</v>
      </c>
      <c r="E160" s="2">
        <v>1.88</v>
      </c>
      <c r="F160" s="2">
        <v>0.4</v>
      </c>
      <c r="G160" s="2">
        <v>17.48</v>
      </c>
      <c r="H160" s="3">
        <v>81.04</v>
      </c>
      <c r="I160" s="294"/>
      <c r="J160" s="10"/>
      <c r="P160" s="91"/>
    </row>
    <row r="161" spans="1:16" ht="28.5" customHeight="1">
      <c r="A161" s="675" t="s">
        <v>145</v>
      </c>
      <c r="B161" s="675"/>
      <c r="C161" s="675"/>
      <c r="D161" s="1">
        <v>40</v>
      </c>
      <c r="E161" s="2"/>
      <c r="F161" s="2"/>
      <c r="G161" s="2"/>
      <c r="H161" s="3"/>
      <c r="I161" s="294"/>
      <c r="J161" s="10"/>
      <c r="P161" s="91"/>
    </row>
    <row r="162" spans="1:16" ht="28.5" customHeight="1">
      <c r="A162" s="674" t="s">
        <v>74</v>
      </c>
      <c r="B162" s="674"/>
      <c r="C162" s="674"/>
      <c r="D162" s="3">
        <v>60</v>
      </c>
      <c r="E162" s="2">
        <v>3</v>
      </c>
      <c r="F162" s="2">
        <v>0.8400000000000001</v>
      </c>
      <c r="G162" s="2">
        <v>24.299999999999997</v>
      </c>
      <c r="H162" s="3">
        <v>116.76</v>
      </c>
      <c r="I162" s="294"/>
      <c r="J162" s="10"/>
      <c r="P162" s="91"/>
    </row>
    <row r="163" spans="1:21" s="83" customFormat="1" ht="28.5" customHeight="1">
      <c r="A163" s="675" t="s">
        <v>72</v>
      </c>
      <c r="B163" s="675"/>
      <c r="C163" s="675"/>
      <c r="D163" s="1">
        <v>60</v>
      </c>
      <c r="E163" s="2"/>
      <c r="F163" s="2"/>
      <c r="G163" s="2"/>
      <c r="H163" s="3"/>
      <c r="I163" s="294"/>
      <c r="J163" s="39"/>
      <c r="K163" s="80"/>
      <c r="L163" s="80"/>
      <c r="M163" s="80"/>
      <c r="N163" s="80"/>
      <c r="O163" s="80"/>
      <c r="P163" s="91"/>
      <c r="Q163" s="80"/>
      <c r="R163" s="80"/>
      <c r="S163" s="80"/>
      <c r="T163" s="80"/>
      <c r="U163" s="80"/>
    </row>
    <row r="164" spans="1:16" ht="28.5" customHeight="1">
      <c r="A164" s="698" t="s">
        <v>202</v>
      </c>
      <c r="B164" s="698"/>
      <c r="C164" s="698"/>
      <c r="D164" s="266"/>
      <c r="E164" s="235">
        <f>E87+E109</f>
        <v>52.5</v>
      </c>
      <c r="F164" s="235">
        <f>F87+F109</f>
        <v>56.24</v>
      </c>
      <c r="G164" s="235">
        <f>G87+G109</f>
        <v>211.88</v>
      </c>
      <c r="H164" s="267">
        <f>H87+H109</f>
        <v>1563.6799999999998</v>
      </c>
      <c r="I164" s="302"/>
      <c r="J164" s="10"/>
      <c r="P164" s="91"/>
    </row>
    <row r="165" spans="1:16" ht="28.5" customHeight="1">
      <c r="A165" s="707" t="s">
        <v>12</v>
      </c>
      <c r="B165" s="707"/>
      <c r="C165" s="707"/>
      <c r="D165" s="707"/>
      <c r="E165" s="707"/>
      <c r="F165" s="707"/>
      <c r="G165" s="707"/>
      <c r="H165" s="707"/>
      <c r="I165" s="707"/>
      <c r="J165" s="10"/>
      <c r="P165" s="91"/>
    </row>
    <row r="166" spans="1:16" ht="28.5" customHeight="1">
      <c r="A166" s="693" t="s">
        <v>1</v>
      </c>
      <c r="B166" s="676" t="s">
        <v>2</v>
      </c>
      <c r="C166" s="676" t="s">
        <v>3</v>
      </c>
      <c r="D166" s="676" t="s">
        <v>4</v>
      </c>
      <c r="E166" s="676"/>
      <c r="F166" s="676"/>
      <c r="G166" s="676"/>
      <c r="H166" s="676"/>
      <c r="I166" s="682" t="s">
        <v>201</v>
      </c>
      <c r="J166" s="10"/>
      <c r="P166" s="91"/>
    </row>
    <row r="167" spans="1:16" ht="28.5" customHeight="1">
      <c r="A167" s="693"/>
      <c r="B167" s="676"/>
      <c r="C167" s="676"/>
      <c r="D167" s="6" t="s">
        <v>5</v>
      </c>
      <c r="E167" s="62" t="s">
        <v>6</v>
      </c>
      <c r="F167" s="62" t="s">
        <v>7</v>
      </c>
      <c r="G167" s="62" t="s">
        <v>8</v>
      </c>
      <c r="H167" s="69" t="s">
        <v>9</v>
      </c>
      <c r="I167" s="682"/>
      <c r="J167" s="10"/>
      <c r="P167" s="91"/>
    </row>
    <row r="168" spans="1:21" ht="28.5" customHeight="1">
      <c r="A168" s="709" t="s">
        <v>10</v>
      </c>
      <c r="B168" s="709"/>
      <c r="C168" s="709"/>
      <c r="D168" s="637">
        <f>40+220+D195+D199</f>
        <v>560</v>
      </c>
      <c r="E168" s="71">
        <f>E172+E169+E195+E199</f>
        <v>24.333333333333336</v>
      </c>
      <c r="F168" s="71">
        <f>F172+F169+F195+F199</f>
        <v>25.2</v>
      </c>
      <c r="G168" s="71">
        <f>G172+G169+G195+G199</f>
        <v>85.4</v>
      </c>
      <c r="H168" s="265">
        <f>H172+H169+H195+H199</f>
        <v>665.7333333333333</v>
      </c>
      <c r="I168" s="293"/>
      <c r="J168" s="10"/>
      <c r="K168" s="80" t="s">
        <v>12</v>
      </c>
      <c r="P168" s="91"/>
      <c r="Q168" s="83"/>
      <c r="R168" s="83"/>
      <c r="S168" s="83"/>
      <c r="T168" s="83"/>
      <c r="U168" s="83"/>
    </row>
    <row r="169" spans="1:16" ht="28.5" customHeight="1">
      <c r="A169" s="675" t="s">
        <v>244</v>
      </c>
      <c r="B169" s="675"/>
      <c r="C169" s="675"/>
      <c r="D169" s="145" t="s">
        <v>96</v>
      </c>
      <c r="E169" s="2">
        <v>2.3</v>
      </c>
      <c r="F169" s="2">
        <v>7.4</v>
      </c>
      <c r="G169" s="2">
        <v>14.5</v>
      </c>
      <c r="H169" s="3">
        <f>G169*4+F169*9+E169*4</f>
        <v>133.8</v>
      </c>
      <c r="I169" s="294" t="s">
        <v>245</v>
      </c>
      <c r="J169" s="10"/>
      <c r="K169" s="27" t="s">
        <v>34</v>
      </c>
      <c r="L169" s="80">
        <f>+D250</f>
        <v>60</v>
      </c>
      <c r="P169" s="91"/>
    </row>
    <row r="170" spans="1:12" ht="28.5" customHeight="1">
      <c r="A170" s="101" t="s">
        <v>393</v>
      </c>
      <c r="B170" s="22">
        <v>30</v>
      </c>
      <c r="C170" s="22">
        <v>30</v>
      </c>
      <c r="D170" s="22"/>
      <c r="E170" s="35"/>
      <c r="F170" s="35"/>
      <c r="G170" s="35"/>
      <c r="H170" s="26"/>
      <c r="I170" s="297"/>
      <c r="J170" s="10"/>
      <c r="K170" s="28" t="s">
        <v>35</v>
      </c>
      <c r="L170" s="82">
        <f>B170++D252</f>
        <v>90</v>
      </c>
    </row>
    <row r="171" spans="1:12" ht="28.5" customHeight="1">
      <c r="A171" s="59" t="s">
        <v>471</v>
      </c>
      <c r="B171" s="652">
        <v>10</v>
      </c>
      <c r="C171" s="652">
        <v>10</v>
      </c>
      <c r="D171" s="22"/>
      <c r="E171" s="35"/>
      <c r="F171" s="35"/>
      <c r="G171" s="35"/>
      <c r="H171" s="26"/>
      <c r="I171" s="304"/>
      <c r="J171" s="14"/>
      <c r="K171" s="28" t="s">
        <v>65</v>
      </c>
      <c r="L171" s="82">
        <f>C179+C224+C229</f>
        <v>21.3</v>
      </c>
    </row>
    <row r="172" spans="1:12" ht="28.5" customHeight="1">
      <c r="A172" s="671" t="s">
        <v>243</v>
      </c>
      <c r="B172" s="671"/>
      <c r="C172" s="671"/>
      <c r="D172" s="158" t="s">
        <v>116</v>
      </c>
      <c r="E172" s="228">
        <v>18.533333333333335</v>
      </c>
      <c r="F172" s="228">
        <v>14.4</v>
      </c>
      <c r="G172" s="228">
        <v>44</v>
      </c>
      <c r="H172" s="3">
        <f>G172*4+F172*9+E172*4</f>
        <v>379.73333333333335</v>
      </c>
      <c r="I172" s="294" t="s">
        <v>242</v>
      </c>
      <c r="J172" s="14"/>
      <c r="K172" s="29" t="s">
        <v>66</v>
      </c>
      <c r="L172" s="82">
        <f>C174+C244</f>
        <v>52</v>
      </c>
    </row>
    <row r="173" spans="1:12" ht="28.5" customHeight="1">
      <c r="A173" s="53" t="s">
        <v>56</v>
      </c>
      <c r="B173" s="142">
        <v>140</v>
      </c>
      <c r="C173" s="142">
        <v>137</v>
      </c>
      <c r="D173" s="220"/>
      <c r="E173" s="220"/>
      <c r="F173" s="220"/>
      <c r="G173" s="220"/>
      <c r="H173" s="230"/>
      <c r="I173" s="312"/>
      <c r="J173" s="14"/>
      <c r="K173" s="29" t="s">
        <v>59</v>
      </c>
      <c r="L173" s="82"/>
    </row>
    <row r="174" spans="1:12" ht="28.5" customHeight="1">
      <c r="A174" s="53" t="s">
        <v>132</v>
      </c>
      <c r="B174" s="142">
        <v>7</v>
      </c>
      <c r="C174" s="142">
        <v>7</v>
      </c>
      <c r="D174" s="220"/>
      <c r="E174" s="220"/>
      <c r="F174" s="220"/>
      <c r="G174" s="220"/>
      <c r="H174" s="230"/>
      <c r="I174" s="312"/>
      <c r="J174" s="14"/>
      <c r="K174" s="28" t="s">
        <v>22</v>
      </c>
      <c r="L174" s="82">
        <f>C211</f>
        <v>20</v>
      </c>
    </row>
    <row r="175" spans="1:12" ht="28.5" customHeight="1">
      <c r="A175" s="25" t="s">
        <v>91</v>
      </c>
      <c r="B175" s="142">
        <v>24</v>
      </c>
      <c r="C175" s="142">
        <v>24</v>
      </c>
      <c r="D175" s="220"/>
      <c r="E175" s="228"/>
      <c r="F175" s="228"/>
      <c r="G175" s="228"/>
      <c r="H175" s="3"/>
      <c r="I175" s="304"/>
      <c r="J175" s="14"/>
      <c r="K175" s="28" t="s">
        <v>24</v>
      </c>
      <c r="L175" s="81">
        <f>C202++C215+C217+C218+C210+C209</f>
        <v>189.4</v>
      </c>
    </row>
    <row r="176" spans="1:12" ht="28.5" customHeight="1">
      <c r="A176" s="53" t="s">
        <v>39</v>
      </c>
      <c r="B176" s="142">
        <v>14</v>
      </c>
      <c r="C176" s="142">
        <v>14</v>
      </c>
      <c r="D176" s="220"/>
      <c r="E176" s="220"/>
      <c r="F176" s="220"/>
      <c r="G176" s="220"/>
      <c r="H176" s="230"/>
      <c r="I176" s="312"/>
      <c r="J176" s="14"/>
      <c r="K176" s="28" t="s">
        <v>21</v>
      </c>
      <c r="L176" s="82">
        <f>+D199</f>
        <v>100</v>
      </c>
    </row>
    <row r="177" spans="1:12" ht="28.5" customHeight="1">
      <c r="A177" s="53" t="s">
        <v>133</v>
      </c>
      <c r="B177" s="142"/>
      <c r="C177" s="142">
        <v>33</v>
      </c>
      <c r="D177" s="220"/>
      <c r="E177" s="220"/>
      <c r="F177" s="229"/>
      <c r="G177" s="229"/>
      <c r="H177" s="230"/>
      <c r="I177" s="313"/>
      <c r="J177" s="14"/>
      <c r="K177" s="28" t="s">
        <v>25</v>
      </c>
      <c r="L177" s="81">
        <f>C248</f>
        <v>25</v>
      </c>
    </row>
    <row r="178" spans="1:11" ht="28.5" customHeight="1">
      <c r="A178" s="169" t="s">
        <v>70</v>
      </c>
      <c r="B178" s="142">
        <v>14</v>
      </c>
      <c r="C178" s="142">
        <v>14</v>
      </c>
      <c r="D178" s="220"/>
      <c r="E178" s="220"/>
      <c r="F178" s="229"/>
      <c r="G178" s="229"/>
      <c r="H178" s="230"/>
      <c r="I178" s="313"/>
      <c r="J178" s="14"/>
      <c r="K178" s="28" t="s">
        <v>61</v>
      </c>
    </row>
    <row r="179" spans="1:12" ht="28.5" customHeight="1">
      <c r="A179" s="169" t="s">
        <v>54</v>
      </c>
      <c r="B179" s="142">
        <v>14</v>
      </c>
      <c r="C179" s="142">
        <v>14</v>
      </c>
      <c r="D179" s="220"/>
      <c r="E179" s="220"/>
      <c r="F179" s="229"/>
      <c r="G179" s="229"/>
      <c r="H179" s="230"/>
      <c r="I179" s="313"/>
      <c r="J179" s="14"/>
      <c r="K179" s="28" t="s">
        <v>20</v>
      </c>
      <c r="L179" s="82">
        <f>C176+C180+C198+C220+C249</f>
        <v>51.5</v>
      </c>
    </row>
    <row r="180" spans="1:11" ht="28.5" customHeight="1">
      <c r="A180" s="169" t="s">
        <v>39</v>
      </c>
      <c r="B180" s="142">
        <v>7</v>
      </c>
      <c r="C180" s="142">
        <v>7</v>
      </c>
      <c r="D180" s="220"/>
      <c r="E180" s="220"/>
      <c r="F180" s="229"/>
      <c r="G180" s="229"/>
      <c r="H180" s="230"/>
      <c r="I180" s="313"/>
      <c r="J180" s="14"/>
      <c r="K180" s="28" t="s">
        <v>26</v>
      </c>
    </row>
    <row r="181" spans="1:12" ht="28.5" customHeight="1">
      <c r="A181" s="169" t="s">
        <v>64</v>
      </c>
      <c r="B181" s="144">
        <v>4.5</v>
      </c>
      <c r="C181" s="144">
        <v>4.5</v>
      </c>
      <c r="D181" s="220"/>
      <c r="E181" s="220"/>
      <c r="F181" s="229"/>
      <c r="G181" s="229"/>
      <c r="H181" s="230"/>
      <c r="I181" s="313"/>
      <c r="J181" s="14"/>
      <c r="K181" s="27" t="s">
        <v>79</v>
      </c>
      <c r="L181" s="82">
        <f>C196</f>
        <v>5</v>
      </c>
    </row>
    <row r="182" spans="1:11" ht="28.5" customHeight="1">
      <c r="A182" s="143" t="s">
        <v>142</v>
      </c>
      <c r="B182" s="140"/>
      <c r="C182" s="140">
        <v>200</v>
      </c>
      <c r="D182" s="220"/>
      <c r="E182" s="220"/>
      <c r="F182" s="229"/>
      <c r="G182" s="229"/>
      <c r="H182" s="230"/>
      <c r="I182" s="313"/>
      <c r="J182" s="14"/>
      <c r="K182" s="28" t="s">
        <v>27</v>
      </c>
    </row>
    <row r="183" spans="1:12" ht="28.5" customHeight="1">
      <c r="A183" s="59" t="s">
        <v>108</v>
      </c>
      <c r="B183" s="23">
        <v>20.2</v>
      </c>
      <c r="C183" s="142">
        <v>20</v>
      </c>
      <c r="D183" s="220"/>
      <c r="E183" s="229"/>
      <c r="F183" s="229"/>
      <c r="G183" s="229"/>
      <c r="H183" s="230"/>
      <c r="I183" s="313"/>
      <c r="J183" s="14"/>
      <c r="K183" s="27" t="s">
        <v>199</v>
      </c>
      <c r="L183" s="262"/>
    </row>
    <row r="184" spans="1:12" ht="28.5" customHeight="1">
      <c r="A184" s="692" t="s">
        <v>95</v>
      </c>
      <c r="B184" s="692"/>
      <c r="C184" s="692"/>
      <c r="D184" s="692"/>
      <c r="E184" s="692"/>
      <c r="F184" s="692"/>
      <c r="G184" s="692"/>
      <c r="H184" s="692"/>
      <c r="I184" s="692"/>
      <c r="J184" s="14"/>
      <c r="K184" s="28" t="s">
        <v>67</v>
      </c>
      <c r="L184" s="82"/>
    </row>
    <row r="185" spans="1:12" ht="28.5" customHeight="1">
      <c r="A185" s="675" t="s">
        <v>318</v>
      </c>
      <c r="B185" s="675"/>
      <c r="C185" s="675"/>
      <c r="D185" s="158" t="s">
        <v>116</v>
      </c>
      <c r="E185" s="2">
        <v>19.1</v>
      </c>
      <c r="F185" s="2">
        <v>15.1</v>
      </c>
      <c r="G185" s="2">
        <v>38.9</v>
      </c>
      <c r="H185" s="238">
        <f>G185*4+F185*9+E185*4</f>
        <v>367.9</v>
      </c>
      <c r="I185" s="294" t="s">
        <v>317</v>
      </c>
      <c r="J185" s="14"/>
      <c r="K185" s="27" t="s">
        <v>200</v>
      </c>
      <c r="L185" s="263">
        <f>C223</f>
        <v>121</v>
      </c>
    </row>
    <row r="186" spans="1:12" ht="28.5" customHeight="1">
      <c r="A186" s="53" t="s">
        <v>56</v>
      </c>
      <c r="B186" s="45">
        <v>147</v>
      </c>
      <c r="C186" s="45">
        <v>145</v>
      </c>
      <c r="D186" s="287"/>
      <c r="E186" s="287"/>
      <c r="F186" s="287"/>
      <c r="G186" s="287"/>
      <c r="H186" s="535"/>
      <c r="I186" s="23"/>
      <c r="J186" s="108"/>
      <c r="K186" s="27" t="s">
        <v>62</v>
      </c>
      <c r="L186" s="82">
        <f>C206</f>
        <v>18</v>
      </c>
    </row>
    <row r="187" spans="1:12" ht="28.5" customHeight="1">
      <c r="A187" s="53" t="s">
        <v>52</v>
      </c>
      <c r="B187" s="45">
        <v>20</v>
      </c>
      <c r="C187" s="45">
        <v>20</v>
      </c>
      <c r="D187" s="287"/>
      <c r="E187" s="287"/>
      <c r="F187" s="2"/>
      <c r="G187" s="2"/>
      <c r="H187" s="45"/>
      <c r="I187" s="23"/>
      <c r="J187" s="94"/>
      <c r="K187" s="28" t="s">
        <v>28</v>
      </c>
      <c r="L187" s="82"/>
    </row>
    <row r="188" spans="1:12" ht="28.5" customHeight="1">
      <c r="A188" s="25" t="s">
        <v>91</v>
      </c>
      <c r="B188" s="26">
        <v>10</v>
      </c>
      <c r="C188" s="26">
        <v>10</v>
      </c>
      <c r="D188" s="287"/>
      <c r="E188" s="287"/>
      <c r="F188" s="23"/>
      <c r="G188" s="23"/>
      <c r="H188" s="26"/>
      <c r="I188" s="43"/>
      <c r="J188" s="94"/>
      <c r="K188" s="30" t="s">
        <v>29</v>
      </c>
      <c r="L188" s="82">
        <f>C183+C197</f>
        <v>150</v>
      </c>
    </row>
    <row r="189" spans="1:12" ht="28.5" customHeight="1">
      <c r="A189" s="20" t="s">
        <v>39</v>
      </c>
      <c r="B189" s="45">
        <v>15</v>
      </c>
      <c r="C189" s="45">
        <v>15</v>
      </c>
      <c r="D189" s="287"/>
      <c r="E189" s="287"/>
      <c r="F189" s="32"/>
      <c r="G189" s="32"/>
      <c r="H189" s="45"/>
      <c r="I189" s="32"/>
      <c r="J189" s="14"/>
      <c r="K189" s="72" t="s">
        <v>85</v>
      </c>
      <c r="L189" s="82"/>
    </row>
    <row r="190" spans="1:12" ht="28.5" customHeight="1">
      <c r="A190" s="20" t="s">
        <v>54</v>
      </c>
      <c r="B190" s="45">
        <v>15</v>
      </c>
      <c r="C190" s="45">
        <v>15</v>
      </c>
      <c r="D190" s="287"/>
      <c r="E190" s="287"/>
      <c r="F190" s="2"/>
      <c r="G190" s="2"/>
      <c r="H190" s="238"/>
      <c r="I190" s="2"/>
      <c r="J190" s="14"/>
      <c r="K190" s="27" t="s">
        <v>30</v>
      </c>
      <c r="L190" s="82">
        <f>C173</f>
        <v>137</v>
      </c>
    </row>
    <row r="191" spans="1:12" ht="28.5" customHeight="1">
      <c r="A191" s="20" t="s">
        <v>63</v>
      </c>
      <c r="B191" s="45">
        <v>30</v>
      </c>
      <c r="C191" s="45">
        <v>30</v>
      </c>
      <c r="D191" s="287"/>
      <c r="E191" s="287"/>
      <c r="F191" s="2"/>
      <c r="G191" s="2"/>
      <c r="H191" s="238"/>
      <c r="I191" s="2"/>
      <c r="J191" s="14"/>
      <c r="K191" s="27" t="s">
        <v>31</v>
      </c>
      <c r="L191" s="82">
        <f>C221+C228</f>
        <v>17.5</v>
      </c>
    </row>
    <row r="192" spans="1:12" ht="28.5" customHeight="1">
      <c r="A192" s="169" t="s">
        <v>64</v>
      </c>
      <c r="B192" s="142">
        <v>5</v>
      </c>
      <c r="C192" s="142">
        <v>5</v>
      </c>
      <c r="D192" s="287"/>
      <c r="E192" s="287"/>
      <c r="F192" s="229"/>
      <c r="G192" s="229"/>
      <c r="H192" s="230"/>
      <c r="I192" s="313"/>
      <c r="J192" s="109"/>
      <c r="K192" s="28" t="s">
        <v>68</v>
      </c>
      <c r="L192" s="82"/>
    </row>
    <row r="193" spans="1:12" ht="28.5" customHeight="1">
      <c r="A193" s="115" t="s">
        <v>289</v>
      </c>
      <c r="B193" s="45"/>
      <c r="C193" s="45">
        <v>200</v>
      </c>
      <c r="D193" s="287"/>
      <c r="E193" s="287"/>
      <c r="F193" s="32"/>
      <c r="G193" s="32"/>
      <c r="H193" s="45"/>
      <c r="I193" s="32"/>
      <c r="J193" s="91"/>
      <c r="K193" s="27" t="s">
        <v>32</v>
      </c>
      <c r="L193" s="82">
        <f>C178+C181++C219+C246+C231+C171</f>
        <v>40.8</v>
      </c>
    </row>
    <row r="194" spans="1:12" ht="28.5" customHeight="1">
      <c r="A194" s="115" t="s">
        <v>108</v>
      </c>
      <c r="B194" s="23">
        <v>20.2</v>
      </c>
      <c r="C194" s="45">
        <v>20</v>
      </c>
      <c r="D194" s="287"/>
      <c r="E194" s="23"/>
      <c r="F194" s="32"/>
      <c r="G194" s="32"/>
      <c r="H194" s="45"/>
      <c r="I194" s="32"/>
      <c r="J194" s="91"/>
      <c r="K194" s="27" t="s">
        <v>23</v>
      </c>
      <c r="L194" s="82">
        <f>++B225</f>
        <v>5</v>
      </c>
    </row>
    <row r="195" spans="1:12" ht="28.5" customHeight="1">
      <c r="A195" s="674" t="s">
        <v>237</v>
      </c>
      <c r="B195" s="674"/>
      <c r="C195" s="674"/>
      <c r="D195" s="1">
        <v>200</v>
      </c>
      <c r="E195" s="2">
        <v>3.4</v>
      </c>
      <c r="F195" s="1">
        <v>3.2</v>
      </c>
      <c r="G195" s="1">
        <v>21.2</v>
      </c>
      <c r="H195" s="104">
        <f>E195*4+F195*9+G195*4</f>
        <v>127.19999999999999</v>
      </c>
      <c r="I195" s="294" t="s">
        <v>238</v>
      </c>
      <c r="J195" s="15"/>
      <c r="K195" s="28" t="s">
        <v>33</v>
      </c>
      <c r="L195" s="82">
        <f>C175</f>
        <v>24</v>
      </c>
    </row>
    <row r="196" spans="1:11" ht="28.5" customHeight="1">
      <c r="A196" s="100" t="s">
        <v>69</v>
      </c>
      <c r="B196" s="46">
        <v>5</v>
      </c>
      <c r="C196" s="46">
        <v>5</v>
      </c>
      <c r="D196" s="47"/>
      <c r="E196" s="50"/>
      <c r="F196" s="50"/>
      <c r="G196" s="50"/>
      <c r="H196" s="46"/>
      <c r="I196" s="305"/>
      <c r="J196" s="8"/>
      <c r="K196" s="28" t="s">
        <v>78</v>
      </c>
    </row>
    <row r="197" spans="1:11" ht="28.5" customHeight="1">
      <c r="A197" s="59" t="s">
        <v>63</v>
      </c>
      <c r="B197" s="58">
        <v>130</v>
      </c>
      <c r="C197" s="58">
        <v>130</v>
      </c>
      <c r="D197" s="22"/>
      <c r="E197" s="22"/>
      <c r="F197" s="22"/>
      <c r="G197" s="22"/>
      <c r="H197" s="26"/>
      <c r="I197" s="295"/>
      <c r="J197" s="8"/>
      <c r="K197" s="264" t="s">
        <v>193</v>
      </c>
    </row>
    <row r="198" spans="1:16" ht="28.5" customHeight="1">
      <c r="A198" s="89" t="s">
        <v>39</v>
      </c>
      <c r="B198" s="58">
        <v>15</v>
      </c>
      <c r="C198" s="58">
        <v>15</v>
      </c>
      <c r="D198" s="1"/>
      <c r="E198" s="1"/>
      <c r="F198" s="1"/>
      <c r="G198" s="1"/>
      <c r="H198" s="3"/>
      <c r="I198" s="295"/>
      <c r="J198" s="9"/>
      <c r="M198" s="83"/>
      <c r="O198" s="83"/>
      <c r="P198" s="83"/>
    </row>
    <row r="199" spans="1:10" ht="28.5" customHeight="1">
      <c r="A199" s="683" t="s">
        <v>239</v>
      </c>
      <c r="B199" s="683"/>
      <c r="C199" s="683"/>
      <c r="D199" s="4">
        <v>100</v>
      </c>
      <c r="E199" s="242">
        <v>0.1</v>
      </c>
      <c r="F199" s="242">
        <v>0.2</v>
      </c>
      <c r="G199" s="242">
        <v>5.7</v>
      </c>
      <c r="H199" s="3">
        <f>E199*4+F199*9+G199*4</f>
        <v>25</v>
      </c>
      <c r="I199" s="294" t="s">
        <v>240</v>
      </c>
      <c r="J199" s="10"/>
    </row>
    <row r="200" spans="1:10" ht="28.5" customHeight="1">
      <c r="A200" s="690" t="s">
        <v>205</v>
      </c>
      <c r="B200" s="690"/>
      <c r="C200" s="690"/>
      <c r="D200" s="243">
        <f>D201+265+D222+D243+D247</f>
        <v>865</v>
      </c>
      <c r="E200" s="71">
        <f>E201+E204+E222+E243+E247+E250+E252</f>
        <v>29.119999999999997</v>
      </c>
      <c r="F200" s="71">
        <f>F201+F204+F222+F243+F247+F250+F252</f>
        <v>23.14</v>
      </c>
      <c r="G200" s="71">
        <f>G201+G204+G222+G243+G247+G250+G252</f>
        <v>130.54</v>
      </c>
      <c r="H200" s="265">
        <f>H201+H204+H222+H243+H247+H250+H252</f>
        <v>846.9</v>
      </c>
      <c r="I200" s="293"/>
      <c r="J200" s="10"/>
    </row>
    <row r="201" spans="1:10" ht="28.5" customHeight="1">
      <c r="A201" s="683" t="s">
        <v>610</v>
      </c>
      <c r="B201" s="683"/>
      <c r="C201" s="683"/>
      <c r="D201" s="1">
        <v>100</v>
      </c>
      <c r="E201" s="2">
        <v>0.7000000000000001</v>
      </c>
      <c r="F201" s="2">
        <v>0.1</v>
      </c>
      <c r="G201" s="2">
        <v>1.9</v>
      </c>
      <c r="H201" s="238">
        <f>E201*4+F201*9+G201*4</f>
        <v>11.3</v>
      </c>
      <c r="I201" s="297" t="s">
        <v>232</v>
      </c>
      <c r="J201" s="10"/>
    </row>
    <row r="202" spans="1:10" ht="28.5" customHeight="1">
      <c r="A202" s="59" t="s">
        <v>90</v>
      </c>
      <c r="B202" s="45">
        <f>C202*1.05</f>
        <v>105</v>
      </c>
      <c r="C202" s="23">
        <v>100</v>
      </c>
      <c r="D202" s="22"/>
      <c r="E202" s="22"/>
      <c r="F202" s="22"/>
      <c r="G202" s="22"/>
      <c r="H202" s="26"/>
      <c r="I202" s="295"/>
      <c r="J202" s="10"/>
    </row>
    <row r="203" spans="1:10" ht="30" customHeight="1">
      <c r="A203" s="59" t="s">
        <v>76</v>
      </c>
      <c r="B203" s="45">
        <f>C203*1.02</f>
        <v>102</v>
      </c>
      <c r="C203" s="23">
        <v>100</v>
      </c>
      <c r="D203" s="221"/>
      <c r="E203" s="221"/>
      <c r="F203" s="221"/>
      <c r="G203" s="221"/>
      <c r="H203" s="534"/>
      <c r="I203" s="295"/>
      <c r="J203" s="10"/>
    </row>
    <row r="204" spans="1:10" ht="30" customHeight="1">
      <c r="A204" s="683" t="s">
        <v>619</v>
      </c>
      <c r="B204" s="683"/>
      <c r="C204" s="683"/>
      <c r="D204" s="1" t="s">
        <v>206</v>
      </c>
      <c r="E204" s="21">
        <v>5.5</v>
      </c>
      <c r="F204" s="21">
        <v>5.9</v>
      </c>
      <c r="G204" s="21">
        <v>16.7</v>
      </c>
      <c r="H204" s="238">
        <f>E204*4+F204*9+G204*4</f>
        <v>141.89999999999998</v>
      </c>
      <c r="I204" s="300" t="s">
        <v>233</v>
      </c>
      <c r="J204" s="10"/>
    </row>
    <row r="205" spans="1:10" ht="30" customHeight="1">
      <c r="A205" s="54" t="s">
        <v>460</v>
      </c>
      <c r="B205" s="37">
        <v>29</v>
      </c>
      <c r="C205" s="24">
        <v>26</v>
      </c>
      <c r="D205" s="33"/>
      <c r="E205" s="270"/>
      <c r="F205" s="32"/>
      <c r="G205" s="32"/>
      <c r="H205" s="45"/>
      <c r="I205" s="302"/>
      <c r="J205" s="9"/>
    </row>
    <row r="206" spans="1:10" ht="30" customHeight="1">
      <c r="A206" s="54" t="s">
        <v>459</v>
      </c>
      <c r="B206" s="37">
        <f>C206*1.04</f>
        <v>18.72</v>
      </c>
      <c r="C206" s="24">
        <v>18</v>
      </c>
      <c r="D206" s="420"/>
      <c r="E206" s="421"/>
      <c r="F206" s="38"/>
      <c r="G206" s="38"/>
      <c r="H206" s="104"/>
      <c r="I206" s="422"/>
      <c r="J206" s="10"/>
    </row>
    <row r="207" spans="1:12" ht="30" customHeight="1">
      <c r="A207" s="171" t="s">
        <v>457</v>
      </c>
      <c r="B207" s="126">
        <f>C207*1.054</f>
        <v>14.756</v>
      </c>
      <c r="C207" s="23">
        <v>14</v>
      </c>
      <c r="D207" s="282"/>
      <c r="E207" s="440"/>
      <c r="F207" s="33"/>
      <c r="G207" s="33"/>
      <c r="H207" s="24"/>
      <c r="I207" s="441"/>
      <c r="J207" s="10"/>
      <c r="K207" s="83"/>
      <c r="L207" s="83"/>
    </row>
    <row r="208" spans="1:10" ht="30" customHeight="1">
      <c r="A208" s="53" t="s">
        <v>147</v>
      </c>
      <c r="B208" s="107">
        <f>C208*1.25</f>
        <v>50</v>
      </c>
      <c r="C208" s="175">
        <v>40</v>
      </c>
      <c r="D208" s="1"/>
      <c r="E208" s="2"/>
      <c r="F208" s="2"/>
      <c r="G208" s="21"/>
      <c r="H208" s="3"/>
      <c r="I208" s="306"/>
      <c r="J208" s="10"/>
    </row>
    <row r="209" spans="1:10" ht="30" customHeight="1">
      <c r="A209" s="59" t="s">
        <v>43</v>
      </c>
      <c r="B209" s="107">
        <f>C209*1.33</f>
        <v>53.2</v>
      </c>
      <c r="C209" s="175">
        <v>40</v>
      </c>
      <c r="D209" s="632"/>
      <c r="E209" s="21"/>
      <c r="F209" s="21"/>
      <c r="G209" s="21"/>
      <c r="H209" s="238"/>
      <c r="I209" s="306"/>
      <c r="J209" s="10"/>
    </row>
    <row r="210" spans="1:10" ht="30" customHeight="1">
      <c r="A210" s="59" t="s">
        <v>55</v>
      </c>
      <c r="B210" s="57">
        <f>C210*1.25</f>
        <v>25</v>
      </c>
      <c r="C210" s="175">
        <v>20</v>
      </c>
      <c r="D210" s="632"/>
      <c r="E210" s="21"/>
      <c r="F210" s="21"/>
      <c r="G210" s="21"/>
      <c r="H210" s="238"/>
      <c r="I210" s="306"/>
      <c r="J210" s="10"/>
    </row>
    <row r="211" spans="1:10" ht="30" customHeight="1">
      <c r="A211" s="89" t="s">
        <v>47</v>
      </c>
      <c r="B211" s="57">
        <f>C211*1.33</f>
        <v>26.6</v>
      </c>
      <c r="C211" s="175">
        <v>20</v>
      </c>
      <c r="D211" s="632"/>
      <c r="E211" s="21"/>
      <c r="F211" s="21"/>
      <c r="G211" s="21"/>
      <c r="H211" s="238"/>
      <c r="I211" s="300"/>
      <c r="J211" s="10"/>
    </row>
    <row r="212" spans="1:16" ht="30" customHeight="1">
      <c r="A212" s="89" t="s">
        <v>48</v>
      </c>
      <c r="B212" s="57">
        <f>C212*1.43</f>
        <v>28.599999999999998</v>
      </c>
      <c r="C212" s="175">
        <v>20</v>
      </c>
      <c r="D212" s="632"/>
      <c r="E212" s="21"/>
      <c r="F212" s="21"/>
      <c r="G212" s="21"/>
      <c r="H212" s="238"/>
      <c r="I212" s="300"/>
      <c r="J212" s="10"/>
      <c r="M212" s="83"/>
      <c r="O212" s="83"/>
      <c r="P212" s="83"/>
    </row>
    <row r="213" spans="1:10" ht="30" customHeight="1">
      <c r="A213" s="89" t="s">
        <v>49</v>
      </c>
      <c r="B213" s="57">
        <f>C213*1.54</f>
        <v>30.8</v>
      </c>
      <c r="C213" s="175">
        <v>20</v>
      </c>
      <c r="D213" s="632"/>
      <c r="E213" s="21"/>
      <c r="F213" s="21"/>
      <c r="G213" s="21"/>
      <c r="H213" s="238"/>
      <c r="I213" s="300"/>
      <c r="J213" s="10"/>
    </row>
    <row r="214" spans="1:10" ht="30" customHeight="1">
      <c r="A214" s="89" t="s">
        <v>50</v>
      </c>
      <c r="B214" s="57">
        <f>C214*1.67</f>
        <v>33.4</v>
      </c>
      <c r="C214" s="175">
        <v>20</v>
      </c>
      <c r="D214" s="632"/>
      <c r="E214" s="21"/>
      <c r="F214" s="21"/>
      <c r="G214" s="21"/>
      <c r="H214" s="238"/>
      <c r="I214" s="300"/>
      <c r="J214" s="10"/>
    </row>
    <row r="215" spans="1:10" ht="30" customHeight="1">
      <c r="A215" s="53" t="s">
        <v>112</v>
      </c>
      <c r="B215" s="57">
        <f>C215*1.25</f>
        <v>16.25</v>
      </c>
      <c r="C215" s="175">
        <v>13</v>
      </c>
      <c r="D215" s="632"/>
      <c r="E215" s="21"/>
      <c r="F215" s="21"/>
      <c r="G215" s="21"/>
      <c r="H215" s="238"/>
      <c r="I215" s="300"/>
      <c r="J215" s="10"/>
    </row>
    <row r="216" spans="1:10" ht="30" customHeight="1">
      <c r="A216" s="59" t="s">
        <v>43</v>
      </c>
      <c r="B216" s="57">
        <f>C216*1.33</f>
        <v>17.29</v>
      </c>
      <c r="C216" s="175">
        <v>13</v>
      </c>
      <c r="D216" s="632"/>
      <c r="E216" s="21"/>
      <c r="F216" s="21"/>
      <c r="G216" s="21"/>
      <c r="H216" s="238"/>
      <c r="I216" s="300"/>
      <c r="J216" s="10"/>
    </row>
    <row r="217" spans="1:10" ht="30" customHeight="1">
      <c r="A217" s="89" t="s">
        <v>51</v>
      </c>
      <c r="B217" s="57">
        <f>C217*1.19</f>
        <v>11.899999999999999</v>
      </c>
      <c r="C217" s="175">
        <v>10</v>
      </c>
      <c r="D217" s="512"/>
      <c r="E217" s="435"/>
      <c r="F217" s="32"/>
      <c r="G217" s="32"/>
      <c r="H217" s="57"/>
      <c r="I217" s="309"/>
      <c r="J217" s="9"/>
    </row>
    <row r="218" spans="1:10" ht="30" customHeight="1">
      <c r="A218" s="89" t="s">
        <v>83</v>
      </c>
      <c r="B218" s="107">
        <v>6.4</v>
      </c>
      <c r="C218" s="107">
        <v>6.4</v>
      </c>
      <c r="D218" s="632"/>
      <c r="E218" s="21"/>
      <c r="F218" s="21"/>
      <c r="G218" s="21"/>
      <c r="H218" s="238"/>
      <c r="I218" s="306"/>
      <c r="J218" s="9"/>
    </row>
    <row r="219" spans="1:10" ht="30" customHeight="1">
      <c r="A219" s="89" t="s">
        <v>40</v>
      </c>
      <c r="B219" s="58">
        <v>5</v>
      </c>
      <c r="C219" s="58">
        <v>5</v>
      </c>
      <c r="D219" s="45"/>
      <c r="E219" s="32"/>
      <c r="F219" s="21"/>
      <c r="G219" s="32"/>
      <c r="H219" s="45"/>
      <c r="I219" s="300"/>
      <c r="J219" s="9"/>
    </row>
    <row r="220" spans="1:10" ht="30" customHeight="1">
      <c r="A220" s="59" t="s">
        <v>39</v>
      </c>
      <c r="B220" s="269">
        <v>0.5</v>
      </c>
      <c r="C220" s="269">
        <v>0.5</v>
      </c>
      <c r="D220" s="632"/>
      <c r="E220" s="21"/>
      <c r="F220" s="21"/>
      <c r="G220" s="21"/>
      <c r="H220" s="238"/>
      <c r="I220" s="306"/>
      <c r="J220" s="9"/>
    </row>
    <row r="221" spans="1:12" ht="30" customHeight="1">
      <c r="A221" s="89" t="s">
        <v>52</v>
      </c>
      <c r="B221" s="58">
        <v>5</v>
      </c>
      <c r="C221" s="58">
        <v>5</v>
      </c>
      <c r="D221" s="276"/>
      <c r="E221" s="242"/>
      <c r="F221" s="242"/>
      <c r="G221" s="242"/>
      <c r="H221" s="238"/>
      <c r="I221" s="306"/>
      <c r="J221" s="9"/>
      <c r="K221" s="83"/>
      <c r="L221" s="83"/>
    </row>
    <row r="222" spans="1:10" ht="30" customHeight="1">
      <c r="A222" s="675" t="s">
        <v>282</v>
      </c>
      <c r="B222" s="675"/>
      <c r="C222" s="675"/>
      <c r="D222" s="632">
        <v>120</v>
      </c>
      <c r="E222" s="21">
        <v>10.5</v>
      </c>
      <c r="F222" s="21">
        <v>9.9</v>
      </c>
      <c r="G222" s="21">
        <v>5.5</v>
      </c>
      <c r="H222" s="238">
        <f>G222*4+F222*9+E222*4</f>
        <v>153.10000000000002</v>
      </c>
      <c r="I222" s="300" t="s">
        <v>283</v>
      </c>
      <c r="J222" s="9"/>
    </row>
    <row r="223" spans="1:10" ht="30" customHeight="1">
      <c r="A223" s="132" t="s">
        <v>284</v>
      </c>
      <c r="B223" s="387">
        <v>147</v>
      </c>
      <c r="C223" s="23">
        <v>121</v>
      </c>
      <c r="D223" s="23"/>
      <c r="E223" s="23"/>
      <c r="F223" s="32"/>
      <c r="G223" s="32"/>
      <c r="H223" s="45"/>
      <c r="I223" s="386"/>
      <c r="J223" s="36"/>
    </row>
    <row r="224" spans="1:10" ht="31.5" customHeight="1">
      <c r="A224" s="106" t="s">
        <v>54</v>
      </c>
      <c r="B224" s="653">
        <v>6</v>
      </c>
      <c r="C224" s="653">
        <v>6</v>
      </c>
      <c r="D224" s="23"/>
      <c r="E224" s="32"/>
      <c r="F224" s="32"/>
      <c r="G224" s="21"/>
      <c r="H224" s="238"/>
      <c r="I224" s="386"/>
      <c r="J224" s="36"/>
    </row>
    <row r="225" spans="1:9" ht="31.5" customHeight="1">
      <c r="A225" s="20" t="s">
        <v>44</v>
      </c>
      <c r="B225" s="22">
        <v>5</v>
      </c>
      <c r="C225" s="22">
        <v>5</v>
      </c>
      <c r="D225" s="23"/>
      <c r="E225" s="44"/>
      <c r="F225" s="32"/>
      <c r="G225" s="21"/>
      <c r="H225" s="238"/>
      <c r="I225" s="386"/>
    </row>
    <row r="226" spans="1:9" ht="31.5" customHeight="1">
      <c r="A226" s="20" t="s">
        <v>285</v>
      </c>
      <c r="B226" s="22"/>
      <c r="C226" s="22">
        <v>80</v>
      </c>
      <c r="D226" s="23"/>
      <c r="E226" s="32"/>
      <c r="F226" s="32"/>
      <c r="G226" s="21"/>
      <c r="H226" s="238"/>
      <c r="I226" s="386"/>
    </row>
    <row r="227" spans="1:9" ht="31.5" customHeight="1">
      <c r="A227" s="20" t="s">
        <v>414</v>
      </c>
      <c r="B227" s="22"/>
      <c r="C227" s="22">
        <v>50</v>
      </c>
      <c r="D227" s="23"/>
      <c r="E227" s="32"/>
      <c r="F227" s="32"/>
      <c r="G227" s="21"/>
      <c r="H227" s="238"/>
      <c r="I227" s="300" t="s">
        <v>415</v>
      </c>
    </row>
    <row r="228" spans="1:9" ht="31.5" customHeight="1">
      <c r="A228" s="59" t="s">
        <v>52</v>
      </c>
      <c r="B228" s="654">
        <v>12.5</v>
      </c>
      <c r="C228" s="654">
        <v>12.5</v>
      </c>
      <c r="D228" s="23"/>
      <c r="E228" s="32"/>
      <c r="F228" s="32"/>
      <c r="G228" s="21"/>
      <c r="H228" s="238"/>
      <c r="I228" s="386"/>
    </row>
    <row r="229" spans="1:25" s="40" customFormat="1" ht="31.5" customHeight="1">
      <c r="A229" s="106" t="s">
        <v>54</v>
      </c>
      <c r="B229" s="654">
        <v>1.3</v>
      </c>
      <c r="C229" s="654">
        <v>1.3</v>
      </c>
      <c r="D229" s="23"/>
      <c r="E229" s="32"/>
      <c r="F229" s="32"/>
      <c r="G229" s="21"/>
      <c r="H229" s="238"/>
      <c r="I229" s="386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7"/>
      <c r="W229" s="87"/>
      <c r="X229" s="87"/>
      <c r="Y229" s="87"/>
    </row>
    <row r="230" spans="1:25" ht="31.5" customHeight="1">
      <c r="A230" s="388" t="s">
        <v>60</v>
      </c>
      <c r="B230" s="45">
        <v>40</v>
      </c>
      <c r="C230" s="45">
        <v>40</v>
      </c>
      <c r="D230" s="23"/>
      <c r="E230" s="32"/>
      <c r="F230" s="32"/>
      <c r="G230" s="32"/>
      <c r="H230" s="45"/>
      <c r="I230" s="386"/>
      <c r="V230" s="633"/>
      <c r="W230" s="633"/>
      <c r="X230" s="634"/>
      <c r="Y230" s="196"/>
    </row>
    <row r="231" spans="1:25" ht="31.5" customHeight="1">
      <c r="A231" s="53" t="s">
        <v>70</v>
      </c>
      <c r="B231" s="32">
        <v>1.3</v>
      </c>
      <c r="C231" s="32">
        <v>1.3</v>
      </c>
      <c r="D231" s="23"/>
      <c r="E231" s="26"/>
      <c r="F231" s="43"/>
      <c r="G231" s="32"/>
      <c r="H231" s="3"/>
      <c r="I231" s="386"/>
      <c r="K231" s="83"/>
      <c r="L231" s="83"/>
      <c r="V231" s="96"/>
      <c r="W231" s="96"/>
      <c r="X231" s="96"/>
      <c r="Y231" s="96"/>
    </row>
    <row r="232" spans="1:25" ht="31.5" customHeight="1">
      <c r="A232" s="692" t="s">
        <v>95</v>
      </c>
      <c r="B232" s="692"/>
      <c r="C232" s="692"/>
      <c r="D232" s="692"/>
      <c r="E232" s="692"/>
      <c r="F232" s="692"/>
      <c r="G232" s="692"/>
      <c r="H232" s="692"/>
      <c r="I232" s="692"/>
      <c r="J232" s="92"/>
      <c r="V232" s="181"/>
      <c r="W232" s="181"/>
      <c r="X232" s="182"/>
      <c r="Y232" s="193"/>
    </row>
    <row r="233" spans="1:25" ht="31.5" customHeight="1">
      <c r="A233" s="712" t="s">
        <v>316</v>
      </c>
      <c r="B233" s="712"/>
      <c r="C233" s="712"/>
      <c r="D233" s="4">
        <v>100</v>
      </c>
      <c r="E233" s="222">
        <v>9.1</v>
      </c>
      <c r="F233" s="222">
        <v>7.5</v>
      </c>
      <c r="G233" s="222">
        <v>3.4</v>
      </c>
      <c r="H233" s="3">
        <f>E233*4+F233*9+G233*4</f>
        <v>117.5</v>
      </c>
      <c r="I233" s="297" t="s">
        <v>225</v>
      </c>
      <c r="J233" s="92"/>
      <c r="V233" s="181"/>
      <c r="W233" s="181"/>
      <c r="X233" s="182"/>
      <c r="Y233" s="193"/>
    </row>
    <row r="234" spans="1:25" ht="31.5" customHeight="1">
      <c r="A234" s="54" t="s">
        <v>45</v>
      </c>
      <c r="B234" s="37">
        <f>C234*1.36</f>
        <v>85.68</v>
      </c>
      <c r="C234" s="57">
        <v>63</v>
      </c>
      <c r="D234" s="218"/>
      <c r="E234" s="225"/>
      <c r="F234" s="225"/>
      <c r="G234" s="225"/>
      <c r="H234" s="233"/>
      <c r="I234" s="305"/>
      <c r="J234" s="92"/>
      <c r="Q234" s="87"/>
      <c r="R234" s="87"/>
      <c r="S234" s="87"/>
      <c r="T234" s="87"/>
      <c r="U234" s="87"/>
      <c r="V234" s="76"/>
      <c r="W234" s="76"/>
      <c r="X234" s="74"/>
      <c r="Y234" s="201"/>
    </row>
    <row r="235" spans="1:25" ht="31.5" customHeight="1">
      <c r="A235" s="54" t="s">
        <v>46</v>
      </c>
      <c r="B235" s="37">
        <f>C235*1.18</f>
        <v>74.33999999999999</v>
      </c>
      <c r="C235" s="57">
        <v>63</v>
      </c>
      <c r="D235" s="1"/>
      <c r="E235" s="50"/>
      <c r="F235" s="50"/>
      <c r="G235" s="50"/>
      <c r="H235" s="46"/>
      <c r="I235" s="305"/>
      <c r="J235" s="92"/>
      <c r="Q235" s="715"/>
      <c r="R235" s="715"/>
      <c r="S235" s="715"/>
      <c r="T235" s="66"/>
      <c r="U235" s="633"/>
      <c r="V235" s="76"/>
      <c r="W235" s="76"/>
      <c r="X235" s="74"/>
      <c r="Y235" s="183"/>
    </row>
    <row r="236" spans="1:25" ht="31.5" customHeight="1">
      <c r="A236" s="54" t="s">
        <v>135</v>
      </c>
      <c r="B236" s="37">
        <f>C236*1.17</f>
        <v>69.03</v>
      </c>
      <c r="C236" s="57">
        <v>59</v>
      </c>
      <c r="D236" s="1"/>
      <c r="E236" s="50"/>
      <c r="F236" s="50"/>
      <c r="G236" s="50"/>
      <c r="H236" s="46"/>
      <c r="I236" s="305"/>
      <c r="J236" s="12"/>
      <c r="O236" s="83"/>
      <c r="P236" s="83"/>
      <c r="Q236" s="197"/>
      <c r="R236" s="198"/>
      <c r="S236" s="199"/>
      <c r="T236" s="96"/>
      <c r="U236" s="96"/>
      <c r="V236" s="76"/>
      <c r="W236" s="76"/>
      <c r="X236" s="74"/>
      <c r="Y236" s="183"/>
    </row>
    <row r="237" spans="1:25" ht="31.5" customHeight="1">
      <c r="A237" s="59" t="s">
        <v>44</v>
      </c>
      <c r="B237" s="45">
        <v>4</v>
      </c>
      <c r="C237" s="57">
        <v>4</v>
      </c>
      <c r="D237" s="1"/>
      <c r="E237" s="50"/>
      <c r="F237" s="50"/>
      <c r="G237" s="50"/>
      <c r="H237" s="46"/>
      <c r="I237" s="305"/>
      <c r="J237" s="12"/>
      <c r="Q237" s="200"/>
      <c r="R237" s="135"/>
      <c r="S237" s="199"/>
      <c r="T237" s="96"/>
      <c r="U237" s="96"/>
      <c r="V237" s="76"/>
      <c r="W237" s="76"/>
      <c r="X237" s="74"/>
      <c r="Y237" s="183"/>
    </row>
    <row r="238" spans="1:25" ht="31.5" customHeight="1">
      <c r="A238" s="59" t="s">
        <v>92</v>
      </c>
      <c r="B238" s="45"/>
      <c r="C238" s="57">
        <v>40</v>
      </c>
      <c r="D238" s="1"/>
      <c r="E238" s="50"/>
      <c r="F238" s="50"/>
      <c r="G238" s="50"/>
      <c r="H238" s="46"/>
      <c r="I238" s="305"/>
      <c r="J238" s="13"/>
      <c r="Q238" s="200"/>
      <c r="R238" s="135"/>
      <c r="S238" s="199"/>
      <c r="T238" s="96"/>
      <c r="U238" s="96"/>
      <c r="V238" s="76"/>
      <c r="W238" s="76"/>
      <c r="X238" s="74"/>
      <c r="Y238" s="201"/>
    </row>
    <row r="239" spans="1:25" ht="31.5" customHeight="1">
      <c r="A239" s="59" t="s">
        <v>111</v>
      </c>
      <c r="B239" s="45"/>
      <c r="C239" s="57">
        <v>60</v>
      </c>
      <c r="D239" s="1"/>
      <c r="E239" s="50"/>
      <c r="F239" s="50"/>
      <c r="G239" s="50"/>
      <c r="H239" s="46"/>
      <c r="I239" s="305"/>
      <c r="J239" s="13"/>
      <c r="Q239" s="139"/>
      <c r="R239" s="74"/>
      <c r="S239" s="74"/>
      <c r="T239" s="79"/>
      <c r="U239" s="79"/>
      <c r="V239" s="76"/>
      <c r="W239" s="76"/>
      <c r="X239" s="74"/>
      <c r="Y239" s="201"/>
    </row>
    <row r="240" spans="1:25" ht="31.5" customHeight="1">
      <c r="A240" s="59" t="s">
        <v>51</v>
      </c>
      <c r="B240" s="45">
        <f>C240*1.19</f>
        <v>14.28</v>
      </c>
      <c r="C240" s="23">
        <v>12</v>
      </c>
      <c r="D240" s="1"/>
      <c r="E240" s="50"/>
      <c r="F240" s="50"/>
      <c r="G240" s="50"/>
      <c r="H240" s="46"/>
      <c r="I240" s="305"/>
      <c r="J240" s="13"/>
      <c r="Q240" s="136"/>
      <c r="R240" s="74"/>
      <c r="S240" s="79"/>
      <c r="T240" s="79"/>
      <c r="U240" s="76"/>
      <c r="V240" s="76"/>
      <c r="W240" s="76"/>
      <c r="X240" s="74"/>
      <c r="Y240" s="201"/>
    </row>
    <row r="241" spans="1:25" ht="31.5" customHeight="1">
      <c r="A241" s="89" t="s">
        <v>83</v>
      </c>
      <c r="B241" s="58">
        <v>6</v>
      </c>
      <c r="C241" s="58">
        <v>6</v>
      </c>
      <c r="D241" s="1"/>
      <c r="E241" s="596"/>
      <c r="F241" s="597"/>
      <c r="G241" s="597"/>
      <c r="H241" s="598"/>
      <c r="I241" s="305"/>
      <c r="J241" s="91"/>
      <c r="Q241" s="136"/>
      <c r="R241" s="76"/>
      <c r="S241" s="79"/>
      <c r="T241" s="79"/>
      <c r="U241" s="76"/>
      <c r="V241" s="76"/>
      <c r="W241" s="76"/>
      <c r="X241" s="74"/>
      <c r="Y241" s="201"/>
    </row>
    <row r="242" spans="1:25" ht="31.5" customHeight="1">
      <c r="A242" s="25" t="s">
        <v>54</v>
      </c>
      <c r="B242" s="58">
        <v>4</v>
      </c>
      <c r="C242" s="58">
        <v>4</v>
      </c>
      <c r="D242" s="50"/>
      <c r="E242" s="50"/>
      <c r="F242" s="50"/>
      <c r="G242" s="50"/>
      <c r="H242" s="46"/>
      <c r="I242" s="425"/>
      <c r="J242" s="93"/>
      <c r="Q242" s="136"/>
      <c r="R242" s="76"/>
      <c r="S242" s="79"/>
      <c r="T242" s="79"/>
      <c r="U242" s="76"/>
      <c r="V242" s="76"/>
      <c r="W242" s="76"/>
      <c r="X242" s="74"/>
      <c r="Y242" s="201"/>
    </row>
    <row r="243" spans="1:21" ht="31.5" customHeight="1">
      <c r="A243" s="674" t="s">
        <v>379</v>
      </c>
      <c r="B243" s="674"/>
      <c r="C243" s="674"/>
      <c r="D243" s="1">
        <v>180</v>
      </c>
      <c r="E243" s="2">
        <v>5.6</v>
      </c>
      <c r="F243" s="2">
        <v>5.8</v>
      </c>
      <c r="G243" s="2">
        <v>24.72</v>
      </c>
      <c r="H243" s="3">
        <f>G243*4+F243*9+E243*4</f>
        <v>173.48</v>
      </c>
      <c r="I243" s="297" t="s">
        <v>241</v>
      </c>
      <c r="J243" s="91"/>
      <c r="Q243" s="136"/>
      <c r="R243" s="74"/>
      <c r="S243" s="74"/>
      <c r="T243" s="76"/>
      <c r="U243" s="79"/>
    </row>
    <row r="244" spans="1:21" ht="31.5" customHeight="1">
      <c r="A244" s="53" t="s">
        <v>53</v>
      </c>
      <c r="B244" s="23">
        <v>45</v>
      </c>
      <c r="C244" s="23">
        <v>45</v>
      </c>
      <c r="D244" s="22"/>
      <c r="E244" s="160"/>
      <c r="F244" s="160"/>
      <c r="G244" s="160"/>
      <c r="H244" s="3"/>
      <c r="I244" s="297"/>
      <c r="J244" s="91"/>
      <c r="Q244" s="139"/>
      <c r="R244" s="76"/>
      <c r="S244" s="76"/>
      <c r="T244" s="79"/>
      <c r="U244" s="79"/>
    </row>
    <row r="245" spans="1:21" ht="31.5" customHeight="1">
      <c r="A245" s="53" t="s">
        <v>60</v>
      </c>
      <c r="B245" s="23">
        <v>144</v>
      </c>
      <c r="C245" s="23">
        <v>144</v>
      </c>
      <c r="D245" s="22"/>
      <c r="E245" s="35"/>
      <c r="F245" s="35"/>
      <c r="G245" s="35"/>
      <c r="H245" s="26"/>
      <c r="I245" s="297"/>
      <c r="J245" s="8"/>
      <c r="Q245" s="136"/>
      <c r="R245" s="76"/>
      <c r="S245" s="79"/>
      <c r="T245" s="79"/>
      <c r="U245" s="79"/>
    </row>
    <row r="246" spans="1:21" ht="31.5" customHeight="1">
      <c r="A246" s="89" t="s">
        <v>40</v>
      </c>
      <c r="B246" s="23">
        <v>6</v>
      </c>
      <c r="C246" s="23">
        <v>6</v>
      </c>
      <c r="D246" s="43"/>
      <c r="E246" s="43"/>
      <c r="F246" s="43"/>
      <c r="G246" s="43"/>
      <c r="H246" s="26"/>
      <c r="I246" s="304"/>
      <c r="J246" s="8"/>
      <c r="Q246" s="136"/>
      <c r="R246" s="74"/>
      <c r="S246" s="79"/>
      <c r="T246" s="79"/>
      <c r="U246" s="79"/>
    </row>
    <row r="247" spans="1:21" ht="31.5" customHeight="1">
      <c r="A247" s="701" t="s">
        <v>343</v>
      </c>
      <c r="B247" s="701"/>
      <c r="C247" s="701"/>
      <c r="D247" s="4">
        <v>200</v>
      </c>
      <c r="E247" s="222">
        <v>1</v>
      </c>
      <c r="F247" s="222">
        <v>0</v>
      </c>
      <c r="G247" s="222">
        <v>31.2</v>
      </c>
      <c r="H247" s="238">
        <f>G247*4+F247*9+E247*4</f>
        <v>128.8</v>
      </c>
      <c r="I247" s="302" t="s">
        <v>236</v>
      </c>
      <c r="J247" s="9"/>
      <c r="Q247" s="139"/>
      <c r="R247" s="79"/>
      <c r="S247" s="79"/>
      <c r="T247" s="79"/>
      <c r="U247" s="76"/>
    </row>
    <row r="248" spans="1:10" ht="31.5" customHeight="1">
      <c r="A248" s="20" t="s">
        <v>342</v>
      </c>
      <c r="B248" s="22">
        <v>25</v>
      </c>
      <c r="C248" s="22">
        <v>25</v>
      </c>
      <c r="D248" s="22"/>
      <c r="E248" s="43"/>
      <c r="F248" s="43"/>
      <c r="G248" s="43"/>
      <c r="H248" s="26"/>
      <c r="I248" s="43"/>
      <c r="J248" s="10"/>
    </row>
    <row r="249" spans="1:24" ht="31.5" customHeight="1">
      <c r="A249" s="20" t="s">
        <v>39</v>
      </c>
      <c r="B249" s="22">
        <v>15</v>
      </c>
      <c r="C249" s="22">
        <v>15</v>
      </c>
      <c r="D249" s="22"/>
      <c r="E249" s="43"/>
      <c r="F249" s="43"/>
      <c r="G249" s="43"/>
      <c r="H249" s="26"/>
      <c r="I249" s="43"/>
      <c r="J249" s="10"/>
      <c r="O249" s="87"/>
      <c r="P249" s="724"/>
      <c r="Q249" s="724"/>
      <c r="R249" s="724"/>
      <c r="S249" s="635"/>
      <c r="T249" s="380"/>
      <c r="U249" s="380"/>
      <c r="V249" s="380"/>
      <c r="W249" s="633"/>
      <c r="X249" s="362"/>
    </row>
    <row r="250" spans="1:24" ht="31.5" customHeight="1">
      <c r="A250" s="674" t="s">
        <v>34</v>
      </c>
      <c r="B250" s="674"/>
      <c r="C250" s="674"/>
      <c r="D250" s="1">
        <v>60</v>
      </c>
      <c r="E250" s="2">
        <v>2.82</v>
      </c>
      <c r="F250" s="2">
        <v>0.6</v>
      </c>
      <c r="G250" s="2">
        <v>26.22</v>
      </c>
      <c r="H250" s="3">
        <v>121.56000000000002</v>
      </c>
      <c r="I250" s="294"/>
      <c r="J250" s="10"/>
      <c r="O250" s="87"/>
      <c r="P250" s="139"/>
      <c r="Q250" s="78"/>
      <c r="R250" s="74"/>
      <c r="S250" s="96"/>
      <c r="T250" s="181"/>
      <c r="U250" s="181"/>
      <c r="V250" s="181"/>
      <c r="W250" s="181"/>
      <c r="X250" s="519"/>
    </row>
    <row r="251" spans="1:24" ht="31.5" customHeight="1">
      <c r="A251" s="675" t="s">
        <v>145</v>
      </c>
      <c r="B251" s="675"/>
      <c r="C251" s="675"/>
      <c r="D251" s="1">
        <v>60</v>
      </c>
      <c r="E251" s="2"/>
      <c r="F251" s="2"/>
      <c r="G251" s="2"/>
      <c r="H251" s="2"/>
      <c r="I251" s="294"/>
      <c r="J251" s="10"/>
      <c r="O251" s="87"/>
      <c r="P251" s="139"/>
      <c r="Q251" s="78"/>
      <c r="R251" s="74"/>
      <c r="S251" s="96"/>
      <c r="T251" s="236"/>
      <c r="U251" s="236"/>
      <c r="V251" s="236"/>
      <c r="W251" s="634"/>
      <c r="X251" s="370"/>
    </row>
    <row r="252" spans="1:24" ht="31.5" customHeight="1">
      <c r="A252" s="674" t="s">
        <v>74</v>
      </c>
      <c r="B252" s="674"/>
      <c r="C252" s="674"/>
      <c r="D252" s="3">
        <v>60</v>
      </c>
      <c r="E252" s="2">
        <v>3</v>
      </c>
      <c r="F252" s="2">
        <v>0.8400000000000001</v>
      </c>
      <c r="G252" s="2">
        <v>24.299999999999997</v>
      </c>
      <c r="H252" s="3">
        <v>116.76</v>
      </c>
      <c r="I252" s="294"/>
      <c r="J252" s="10"/>
      <c r="O252" s="87"/>
      <c r="P252" s="139"/>
      <c r="Q252" s="78"/>
      <c r="R252" s="74"/>
      <c r="S252" s="96"/>
      <c r="T252" s="76"/>
      <c r="U252" s="76"/>
      <c r="V252" s="76"/>
      <c r="W252" s="76"/>
      <c r="X252" s="519"/>
    </row>
    <row r="253" spans="1:24" ht="31.5" customHeight="1">
      <c r="A253" s="675" t="s">
        <v>72</v>
      </c>
      <c r="B253" s="675"/>
      <c r="C253" s="675"/>
      <c r="D253" s="1">
        <v>60</v>
      </c>
      <c r="E253" s="2"/>
      <c r="F253" s="2"/>
      <c r="G253" s="2"/>
      <c r="H253" s="3"/>
      <c r="I253" s="294"/>
      <c r="J253" s="10"/>
      <c r="O253" s="87"/>
      <c r="P253" s="139"/>
      <c r="Q253" s="78"/>
      <c r="R253" s="74"/>
      <c r="S253" s="96"/>
      <c r="T253" s="76"/>
      <c r="U253" s="76"/>
      <c r="V253" s="76"/>
      <c r="W253" s="76"/>
      <c r="X253" s="519"/>
    </row>
    <row r="254" spans="1:24" ht="38.25" customHeight="1">
      <c r="A254" s="698" t="s">
        <v>202</v>
      </c>
      <c r="B254" s="698"/>
      <c r="C254" s="698"/>
      <c r="D254" s="266"/>
      <c r="E254" s="235">
        <f>E200+E168</f>
        <v>53.45333333333333</v>
      </c>
      <c r="F254" s="235">
        <f>F200+F168</f>
        <v>48.34</v>
      </c>
      <c r="G254" s="235">
        <f>G200+G168</f>
        <v>215.94</v>
      </c>
      <c r="H254" s="267">
        <f>H200+H168</f>
        <v>1512.6333333333332</v>
      </c>
      <c r="I254" s="302"/>
      <c r="J254" s="10"/>
      <c r="O254" s="87"/>
      <c r="P254" s="520"/>
      <c r="Q254" s="135"/>
      <c r="R254" s="521"/>
      <c r="S254" s="96"/>
      <c r="T254" s="181"/>
      <c r="U254" s="181"/>
      <c r="V254" s="181"/>
      <c r="W254" s="181"/>
      <c r="X254" s="519"/>
    </row>
    <row r="255" spans="1:24" ht="41.25" customHeight="1">
      <c r="A255" s="707" t="s">
        <v>13</v>
      </c>
      <c r="B255" s="707"/>
      <c r="C255" s="707"/>
      <c r="D255" s="707"/>
      <c r="E255" s="707"/>
      <c r="F255" s="707"/>
      <c r="G255" s="707"/>
      <c r="H255" s="707"/>
      <c r="I255" s="707"/>
      <c r="J255" s="10"/>
      <c r="O255" s="87"/>
      <c r="P255" s="213"/>
      <c r="Q255" s="216"/>
      <c r="R255" s="216"/>
      <c r="S255" s="96"/>
      <c r="T255" s="76"/>
      <c r="U255" s="76"/>
      <c r="V255" s="76"/>
      <c r="W255" s="74"/>
      <c r="X255" s="382"/>
    </row>
    <row r="256" spans="1:24" ht="30.75" customHeight="1">
      <c r="A256" s="693" t="s">
        <v>1</v>
      </c>
      <c r="B256" s="676" t="s">
        <v>2</v>
      </c>
      <c r="C256" s="676" t="s">
        <v>3</v>
      </c>
      <c r="D256" s="676" t="s">
        <v>4</v>
      </c>
      <c r="E256" s="676"/>
      <c r="F256" s="676"/>
      <c r="G256" s="676"/>
      <c r="H256" s="676"/>
      <c r="I256" s="682" t="s">
        <v>201</v>
      </c>
      <c r="J256" s="10"/>
      <c r="O256" s="87"/>
      <c r="P256" s="213"/>
      <c r="Q256" s="216"/>
      <c r="R256" s="216"/>
      <c r="S256" s="96"/>
      <c r="T256" s="76"/>
      <c r="U256" s="76"/>
      <c r="V256" s="76"/>
      <c r="W256" s="74"/>
      <c r="X256" s="382"/>
    </row>
    <row r="257" spans="1:24" ht="30.75" customHeight="1">
      <c r="A257" s="693"/>
      <c r="B257" s="676"/>
      <c r="C257" s="676"/>
      <c r="D257" s="6" t="s">
        <v>5</v>
      </c>
      <c r="E257" s="62" t="s">
        <v>6</v>
      </c>
      <c r="F257" s="62" t="s">
        <v>7</v>
      </c>
      <c r="G257" s="62" t="s">
        <v>8</v>
      </c>
      <c r="H257" s="69" t="s">
        <v>9</v>
      </c>
      <c r="I257" s="682"/>
      <c r="J257" s="10"/>
      <c r="O257" s="87"/>
      <c r="P257" s="215"/>
      <c r="Q257" s="78"/>
      <c r="R257" s="78"/>
      <c r="S257" s="96"/>
      <c r="T257" s="76"/>
      <c r="U257" s="76"/>
      <c r="V257" s="76"/>
      <c r="W257" s="74"/>
      <c r="X257" s="382"/>
    </row>
    <row r="258" spans="1:25" ht="30.75" customHeight="1">
      <c r="A258" s="709" t="s">
        <v>10</v>
      </c>
      <c r="B258" s="709"/>
      <c r="C258" s="709"/>
      <c r="D258" s="637">
        <f>D259+D265++D271+D275</f>
        <v>580</v>
      </c>
      <c r="E258" s="227">
        <f>E265+E271+E275++E276+E259</f>
        <v>26.14</v>
      </c>
      <c r="F258" s="227">
        <f>F265+F271+F275++F276+F259</f>
        <v>33.3</v>
      </c>
      <c r="G258" s="227">
        <f>G265+G271+G275++G276+G259</f>
        <v>46.44</v>
      </c>
      <c r="H258" s="513">
        <f>H265+H271+H275++H276+H259</f>
        <v>590.02</v>
      </c>
      <c r="I258" s="303"/>
      <c r="J258" s="10"/>
      <c r="O258" s="87"/>
      <c r="P258" s="139"/>
      <c r="Q258" s="681"/>
      <c r="R258" s="681"/>
      <c r="S258" s="681"/>
      <c r="T258" s="66"/>
      <c r="U258" s="633"/>
      <c r="V258" s="633"/>
      <c r="W258" s="633"/>
      <c r="X258" s="531"/>
      <c r="Y258" s="362"/>
    </row>
    <row r="259" spans="1:25" ht="30.75" customHeight="1">
      <c r="A259" s="701" t="s">
        <v>495</v>
      </c>
      <c r="B259" s="701"/>
      <c r="C259" s="701"/>
      <c r="D259" s="223" t="s">
        <v>501</v>
      </c>
      <c r="E259" s="222">
        <v>5.9</v>
      </c>
      <c r="F259" s="222">
        <v>12.4</v>
      </c>
      <c r="G259" s="222">
        <v>14.7</v>
      </c>
      <c r="H259" s="3">
        <f>E259*4+F259*9+G259*4</f>
        <v>194</v>
      </c>
      <c r="I259" s="320" t="s">
        <v>408</v>
      </c>
      <c r="J259" s="10"/>
      <c r="O259" s="87"/>
      <c r="P259" s="213"/>
      <c r="Q259" s="136"/>
      <c r="R259" s="573"/>
      <c r="S259" s="573"/>
      <c r="T259" s="334"/>
      <c r="U259" s="335"/>
      <c r="V259" s="335"/>
      <c r="W259" s="335"/>
      <c r="X259" s="360"/>
      <c r="Y259" s="376"/>
    </row>
    <row r="260" spans="1:25" ht="30.75" customHeight="1">
      <c r="A260" s="100" t="s">
        <v>496</v>
      </c>
      <c r="B260" s="47">
        <v>40</v>
      </c>
      <c r="C260" s="47">
        <v>40</v>
      </c>
      <c r="D260" s="47"/>
      <c r="E260" s="225"/>
      <c r="F260" s="225"/>
      <c r="G260" s="225"/>
      <c r="H260" s="218"/>
      <c r="I260" s="472"/>
      <c r="J260" s="10"/>
      <c r="O260" s="87"/>
      <c r="P260" s="136"/>
      <c r="Q260" s="557"/>
      <c r="R260" s="486"/>
      <c r="S260" s="481"/>
      <c r="T260" s="334"/>
      <c r="U260" s="335"/>
      <c r="V260" s="335"/>
      <c r="W260" s="335"/>
      <c r="X260" s="360"/>
      <c r="Y260" s="376"/>
    </row>
    <row r="261" spans="1:25" ht="30.75" customHeight="1">
      <c r="A261" s="100" t="s">
        <v>70</v>
      </c>
      <c r="B261" s="47">
        <v>10</v>
      </c>
      <c r="C261" s="47">
        <v>10</v>
      </c>
      <c r="D261" s="47"/>
      <c r="E261" s="225"/>
      <c r="F261" s="225"/>
      <c r="G261" s="225"/>
      <c r="H261" s="218"/>
      <c r="I261" s="472"/>
      <c r="J261" s="10"/>
      <c r="O261" s="87"/>
      <c r="P261" s="87"/>
      <c r="Q261" s="557"/>
      <c r="R261" s="486"/>
      <c r="S261" s="481"/>
      <c r="T261" s="337"/>
      <c r="U261" s="337"/>
      <c r="V261" s="337"/>
      <c r="W261" s="337"/>
      <c r="X261" s="77"/>
      <c r="Y261" s="338"/>
    </row>
    <row r="262" spans="1:25" ht="30.75" customHeight="1">
      <c r="A262" s="20" t="s">
        <v>75</v>
      </c>
      <c r="B262" s="43">
        <f>C262*1.02</f>
        <v>20.4</v>
      </c>
      <c r="C262" s="22">
        <v>20</v>
      </c>
      <c r="D262" s="22"/>
      <c r="E262" s="43"/>
      <c r="F262" s="43"/>
      <c r="G262" s="43"/>
      <c r="H262" s="43"/>
      <c r="I262" s="43"/>
      <c r="J262" s="10"/>
      <c r="O262" s="87"/>
      <c r="P262" s="215"/>
      <c r="Q262" s="557"/>
      <c r="R262" s="488"/>
      <c r="S262" s="488"/>
      <c r="T262" s="337"/>
      <c r="U262" s="337"/>
      <c r="V262" s="337"/>
      <c r="W262" s="337"/>
      <c r="X262" s="77"/>
      <c r="Y262" s="338"/>
    </row>
    <row r="263" spans="1:25" ht="30.75" customHeight="1">
      <c r="A263" s="59" t="s">
        <v>89</v>
      </c>
      <c r="B263" s="45">
        <f>1.18*C263</f>
        <v>23.599999999999998</v>
      </c>
      <c r="C263" s="22">
        <v>20</v>
      </c>
      <c r="D263" s="221"/>
      <c r="E263" s="221"/>
      <c r="F263" s="221"/>
      <c r="G263" s="221"/>
      <c r="H263" s="221"/>
      <c r="I263" s="221"/>
      <c r="J263" s="10"/>
      <c r="O263" s="87"/>
      <c r="P263" s="139"/>
      <c r="Q263" s="136"/>
      <c r="R263" s="79"/>
      <c r="S263" s="79"/>
      <c r="T263" s="75"/>
      <c r="U263" s="190"/>
      <c r="V263" s="190"/>
      <c r="W263" s="190"/>
      <c r="X263" s="186"/>
      <c r="Y263" s="574"/>
    </row>
    <row r="264" spans="1:25" ht="30.75" customHeight="1">
      <c r="A264" s="100" t="s">
        <v>58</v>
      </c>
      <c r="B264" s="47">
        <v>16</v>
      </c>
      <c r="C264" s="47">
        <v>15</v>
      </c>
      <c r="D264" s="47"/>
      <c r="E264" s="225"/>
      <c r="F264" s="225"/>
      <c r="G264" s="225"/>
      <c r="H264" s="218"/>
      <c r="I264" s="472"/>
      <c r="J264" s="10"/>
      <c r="O264" s="87"/>
      <c r="P264" s="213"/>
      <c r="Q264" s="655"/>
      <c r="R264" s="655"/>
      <c r="S264" s="87"/>
      <c r="T264" s="87"/>
      <c r="U264" s="87"/>
      <c r="V264" s="87"/>
      <c r="W264" s="87"/>
      <c r="X264" s="87"/>
      <c r="Y264" s="91"/>
    </row>
    <row r="265" spans="1:25" ht="30.75" customHeight="1">
      <c r="A265" s="671" t="s">
        <v>499</v>
      </c>
      <c r="B265" s="671"/>
      <c r="C265" s="671"/>
      <c r="D265" s="1">
        <v>170</v>
      </c>
      <c r="E265" s="21">
        <v>17.2</v>
      </c>
      <c r="F265" s="21">
        <v>19.2</v>
      </c>
      <c r="G265" s="21">
        <v>6.2</v>
      </c>
      <c r="H265" s="238">
        <f>G265*4+F265*9+E265*4</f>
        <v>266.4</v>
      </c>
      <c r="I265" s="294" t="s">
        <v>323</v>
      </c>
      <c r="J265" s="10"/>
      <c r="O265" s="87"/>
      <c r="P265" s="656"/>
      <c r="Q265" s="78"/>
      <c r="R265" s="78"/>
      <c r="S265" s="87"/>
      <c r="T265" s="87"/>
      <c r="U265" s="87"/>
      <c r="V265" s="87"/>
      <c r="W265" s="87"/>
      <c r="X265" s="87"/>
      <c r="Y265" s="91"/>
    </row>
    <row r="266" spans="1:25" ht="30.75" customHeight="1">
      <c r="A266" s="25" t="s">
        <v>91</v>
      </c>
      <c r="B266" s="46">
        <v>125</v>
      </c>
      <c r="C266" s="46">
        <v>125</v>
      </c>
      <c r="D266" s="47"/>
      <c r="E266" s="38"/>
      <c r="F266" s="38"/>
      <c r="G266" s="38"/>
      <c r="H266" s="57"/>
      <c r="I266" s="38"/>
      <c r="J266" s="10"/>
      <c r="O266" s="87"/>
      <c r="P266" s="215"/>
      <c r="Q266" s="129"/>
      <c r="R266" s="129"/>
      <c r="S266" s="87"/>
      <c r="T266" s="87"/>
      <c r="U266" s="87"/>
      <c r="V266" s="87"/>
      <c r="W266" s="87"/>
      <c r="X266" s="87"/>
      <c r="Y266" s="91"/>
    </row>
    <row r="267" spans="1:25" ht="30.75" customHeight="1">
      <c r="A267" s="20" t="s">
        <v>63</v>
      </c>
      <c r="B267" s="46">
        <v>47</v>
      </c>
      <c r="C267" s="46">
        <v>47</v>
      </c>
      <c r="D267" s="47"/>
      <c r="E267" s="21"/>
      <c r="F267" s="21"/>
      <c r="G267" s="21"/>
      <c r="H267" s="238"/>
      <c r="I267" s="21"/>
      <c r="J267" s="10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91"/>
    </row>
    <row r="268" spans="1:25" ht="30.75" customHeight="1">
      <c r="A268" s="48" t="s">
        <v>44</v>
      </c>
      <c r="B268" s="47">
        <v>3</v>
      </c>
      <c r="C268" s="47">
        <v>3</v>
      </c>
      <c r="D268" s="47"/>
      <c r="E268" s="38"/>
      <c r="F268" s="38"/>
      <c r="G268" s="38"/>
      <c r="H268" s="57"/>
      <c r="I268" s="38"/>
      <c r="J268" s="10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91"/>
    </row>
    <row r="269" spans="1:25" ht="30.75" customHeight="1">
      <c r="A269" s="20" t="s">
        <v>321</v>
      </c>
      <c r="B269" s="47"/>
      <c r="C269" s="47">
        <v>165</v>
      </c>
      <c r="D269" s="47"/>
      <c r="E269" s="38"/>
      <c r="F269" s="38"/>
      <c r="G269" s="38"/>
      <c r="H269" s="57"/>
      <c r="I269" s="283"/>
      <c r="J269" s="10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91"/>
    </row>
    <row r="270" spans="1:25" ht="30.75" customHeight="1">
      <c r="A270" s="20" t="s">
        <v>322</v>
      </c>
      <c r="B270" s="47">
        <v>5</v>
      </c>
      <c r="C270" s="47">
        <v>5</v>
      </c>
      <c r="D270" s="47"/>
      <c r="E270" s="50"/>
      <c r="F270" s="50"/>
      <c r="G270" s="2"/>
      <c r="H270" s="3"/>
      <c r="I270" s="409"/>
      <c r="J270" s="10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91"/>
    </row>
    <row r="271" spans="1:25" s="83" customFormat="1" ht="30.75" customHeight="1">
      <c r="A271" s="671" t="s">
        <v>320</v>
      </c>
      <c r="B271" s="671"/>
      <c r="C271" s="671"/>
      <c r="D271" s="1">
        <v>200</v>
      </c>
      <c r="E271" s="1">
        <v>0.3</v>
      </c>
      <c r="F271" s="1">
        <v>0</v>
      </c>
      <c r="G271" s="1">
        <v>12.3</v>
      </c>
      <c r="H271" s="3">
        <f>E271*4+F271*9+G271*4</f>
        <v>50.400000000000006</v>
      </c>
      <c r="I271" s="294" t="s">
        <v>455</v>
      </c>
      <c r="J271" s="10"/>
      <c r="K271" s="80"/>
      <c r="L271" s="80"/>
      <c r="M271" s="80"/>
      <c r="N271" s="80"/>
      <c r="O271" s="87"/>
      <c r="P271" s="87"/>
      <c r="Q271" s="87"/>
      <c r="R271" s="87"/>
      <c r="S271" s="87"/>
      <c r="T271" s="87"/>
      <c r="U271" s="87"/>
      <c r="V271" s="522"/>
      <c r="W271" s="522"/>
      <c r="X271" s="522"/>
      <c r="Y271" s="93"/>
    </row>
    <row r="272" spans="1:25" ht="30" customHeight="1">
      <c r="A272" s="25" t="s">
        <v>134</v>
      </c>
      <c r="B272" s="57">
        <v>2</v>
      </c>
      <c r="C272" s="57">
        <v>2</v>
      </c>
      <c r="D272" s="433"/>
      <c r="E272" s="433"/>
      <c r="F272" s="433"/>
      <c r="G272" s="433"/>
      <c r="H272" s="434"/>
      <c r="I272" s="304"/>
      <c r="J272" s="10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91"/>
    </row>
    <row r="273" spans="1:25" ht="30" customHeight="1">
      <c r="A273" s="25" t="s">
        <v>472</v>
      </c>
      <c r="B273" s="38">
        <f>C273*1.07</f>
        <v>12.84</v>
      </c>
      <c r="C273" s="57">
        <v>12</v>
      </c>
      <c r="D273" s="433"/>
      <c r="E273" s="433"/>
      <c r="F273" s="433"/>
      <c r="G273" s="433"/>
      <c r="H273" s="434"/>
      <c r="I273" s="304"/>
      <c r="J273" s="10"/>
      <c r="O273" s="87"/>
      <c r="P273" s="87"/>
      <c r="Q273" s="678"/>
      <c r="R273" s="678"/>
      <c r="S273" s="678"/>
      <c r="T273" s="575"/>
      <c r="U273" s="335"/>
      <c r="V273" s="335"/>
      <c r="W273" s="335"/>
      <c r="X273" s="360"/>
      <c r="Y273" s="576"/>
    </row>
    <row r="274" spans="1:25" ht="30" customHeight="1">
      <c r="A274" s="25" t="s">
        <v>39</v>
      </c>
      <c r="B274" s="175">
        <v>12</v>
      </c>
      <c r="C274" s="175">
        <v>12</v>
      </c>
      <c r="D274" s="433"/>
      <c r="E274" s="433"/>
      <c r="F274" s="433"/>
      <c r="G274" s="433"/>
      <c r="H274" s="434"/>
      <c r="I274" s="304"/>
      <c r="J274" s="10"/>
      <c r="O274" s="87"/>
      <c r="P274" s="87"/>
      <c r="Q274" s="378"/>
      <c r="R274" s="481"/>
      <c r="S274" s="481"/>
      <c r="T274" s="334"/>
      <c r="U274" s="335"/>
      <c r="V274" s="335"/>
      <c r="W274" s="335"/>
      <c r="X274" s="360"/>
      <c r="Y274" s="577"/>
    </row>
    <row r="275" spans="1:25" ht="30" customHeight="1">
      <c r="A275" s="683" t="s">
        <v>120</v>
      </c>
      <c r="B275" s="683"/>
      <c r="C275" s="683"/>
      <c r="D275" s="1">
        <v>125</v>
      </c>
      <c r="E275" s="2">
        <v>1.8</v>
      </c>
      <c r="F275" s="2">
        <v>1.5</v>
      </c>
      <c r="G275" s="2">
        <v>4.5</v>
      </c>
      <c r="H275" s="3">
        <f>E275*4+F275*9+G275*4</f>
        <v>38.7</v>
      </c>
      <c r="I275" s="294"/>
      <c r="J275" s="10"/>
      <c r="O275" s="87"/>
      <c r="P275" s="87"/>
      <c r="Q275" s="139"/>
      <c r="R275" s="481"/>
      <c r="S275" s="481"/>
      <c r="T275" s="334"/>
      <c r="U275" s="335"/>
      <c r="V275" s="335"/>
      <c r="W275" s="335"/>
      <c r="X275" s="360"/>
      <c r="Y275" s="577"/>
    </row>
    <row r="276" spans="1:24" ht="30" customHeight="1">
      <c r="A276" s="674" t="s">
        <v>34</v>
      </c>
      <c r="B276" s="674"/>
      <c r="C276" s="674"/>
      <c r="D276" s="1">
        <v>20</v>
      </c>
      <c r="E276" s="2">
        <v>0.94</v>
      </c>
      <c r="F276" s="2">
        <v>0.2</v>
      </c>
      <c r="G276" s="2">
        <v>8.74</v>
      </c>
      <c r="H276" s="3">
        <v>40.52</v>
      </c>
      <c r="I276" s="294"/>
      <c r="J276" s="9"/>
      <c r="O276" s="87"/>
      <c r="P276" s="87"/>
      <c r="Q276" s="522"/>
      <c r="R276" s="522"/>
      <c r="S276" s="522"/>
      <c r="T276" s="522"/>
      <c r="U276" s="522"/>
      <c r="V276" s="87"/>
      <c r="W276" s="87"/>
      <c r="X276" s="87"/>
    </row>
    <row r="277" spans="1:24" ht="30" customHeight="1">
      <c r="A277" s="675" t="s">
        <v>145</v>
      </c>
      <c r="B277" s="675"/>
      <c r="C277" s="675"/>
      <c r="D277" s="1">
        <v>20</v>
      </c>
      <c r="E277" s="2"/>
      <c r="F277" s="2"/>
      <c r="G277" s="2"/>
      <c r="H277" s="3"/>
      <c r="I277" s="294"/>
      <c r="J277" s="10"/>
      <c r="O277" s="87"/>
      <c r="P277" s="87"/>
      <c r="Q277" s="87"/>
      <c r="R277" s="87"/>
      <c r="S277" s="87"/>
      <c r="T277" s="87"/>
      <c r="U277" s="87"/>
      <c r="V277" s="87"/>
      <c r="W277" s="87"/>
      <c r="X277" s="87"/>
    </row>
    <row r="278" spans="1:24" ht="30" customHeight="1">
      <c r="A278" s="690" t="s">
        <v>205</v>
      </c>
      <c r="B278" s="690"/>
      <c r="C278" s="690"/>
      <c r="D278" s="243">
        <f>D279+270+D326+D337+D346+D353</f>
        <v>850</v>
      </c>
      <c r="E278" s="71">
        <f>E279+E299+E326+E337+E346+E353+E359+E361</f>
        <v>31.024444444444445</v>
      </c>
      <c r="F278" s="71">
        <f>F279+F299+F326+F337+F346+F353+F359+F361</f>
        <v>33.62888888888889</v>
      </c>
      <c r="G278" s="71">
        <f>G279+G299+G326+G337+G346+G353+G359+G361</f>
        <v>114.50222222222223</v>
      </c>
      <c r="H278" s="265">
        <f>H279+H299+H326+H337+H346+H353+H359+H361</f>
        <v>884.7666666666667</v>
      </c>
      <c r="I278" s="293"/>
      <c r="J278" s="10"/>
      <c r="O278" s="87"/>
      <c r="P278" s="87"/>
      <c r="Q278" s="87"/>
      <c r="R278" s="87"/>
      <c r="S278" s="87"/>
      <c r="T278" s="87"/>
      <c r="U278" s="87"/>
      <c r="V278" s="87"/>
      <c r="W278" s="87"/>
      <c r="X278" s="87"/>
    </row>
    <row r="279" spans="1:24" ht="30" customHeight="1">
      <c r="A279" s="683" t="s">
        <v>369</v>
      </c>
      <c r="B279" s="683"/>
      <c r="C279" s="683"/>
      <c r="D279" s="1">
        <v>100</v>
      </c>
      <c r="E279" s="21">
        <v>1.6</v>
      </c>
      <c r="F279" s="21">
        <v>5.2</v>
      </c>
      <c r="G279" s="21">
        <v>6.1</v>
      </c>
      <c r="H279" s="396">
        <f>G279*4+F279*9+E279*4</f>
        <v>77.60000000000001</v>
      </c>
      <c r="I279" s="320" t="s">
        <v>500</v>
      </c>
      <c r="J279" s="10"/>
      <c r="O279" s="87"/>
      <c r="P279" s="87"/>
      <c r="Q279" s="87"/>
      <c r="R279" s="87"/>
      <c r="S279" s="87"/>
      <c r="T279" s="87"/>
      <c r="U279" s="87"/>
      <c r="V279" s="87"/>
      <c r="W279" s="87"/>
      <c r="X279" s="87"/>
    </row>
    <row r="280" spans="1:25" ht="30" customHeight="1">
      <c r="A280" s="20" t="s">
        <v>47</v>
      </c>
      <c r="B280" s="45">
        <f>C280*1.33</f>
        <v>34.58</v>
      </c>
      <c r="C280" s="23">
        <v>26</v>
      </c>
      <c r="D280" s="23"/>
      <c r="E280" s="32"/>
      <c r="F280" s="32"/>
      <c r="G280" s="32"/>
      <c r="H280" s="45"/>
      <c r="I280" s="474"/>
      <c r="J280" s="10"/>
      <c r="O280" s="87"/>
      <c r="P280" s="87"/>
      <c r="Q280" s="680"/>
      <c r="R280" s="680"/>
      <c r="S280" s="680"/>
      <c r="T280" s="66"/>
      <c r="U280" s="633"/>
      <c r="V280" s="633"/>
      <c r="W280" s="633"/>
      <c r="X280" s="633"/>
      <c r="Y280" s="355"/>
    </row>
    <row r="281" spans="1:25" ht="30" customHeight="1">
      <c r="A281" s="20" t="s">
        <v>48</v>
      </c>
      <c r="B281" s="45">
        <f>C281*1.43</f>
        <v>37.18</v>
      </c>
      <c r="C281" s="23">
        <v>26</v>
      </c>
      <c r="D281" s="23"/>
      <c r="E281" s="32"/>
      <c r="F281" s="32"/>
      <c r="G281" s="32"/>
      <c r="H281" s="45"/>
      <c r="I281" s="474"/>
      <c r="J281" s="10"/>
      <c r="K281" s="80" t="s">
        <v>13</v>
      </c>
      <c r="O281" s="87"/>
      <c r="P281" s="87"/>
      <c r="Q281" s="215"/>
      <c r="R281" s="78"/>
      <c r="S281" s="74"/>
      <c r="T281" s="216"/>
      <c r="U281" s="179"/>
      <c r="V281" s="179"/>
      <c r="W281" s="179"/>
      <c r="X281" s="633"/>
      <c r="Y281" s="355"/>
    </row>
    <row r="282" spans="1:25" ht="30" customHeight="1">
      <c r="A282" s="20" t="s">
        <v>49</v>
      </c>
      <c r="B282" s="45">
        <f>C282*1.54</f>
        <v>40.04</v>
      </c>
      <c r="C282" s="23">
        <v>26</v>
      </c>
      <c r="D282" s="23"/>
      <c r="E282" s="32"/>
      <c r="F282" s="32"/>
      <c r="G282" s="32"/>
      <c r="H282" s="45"/>
      <c r="I282" s="320"/>
      <c r="J282" s="10"/>
      <c r="K282" s="27" t="s">
        <v>34</v>
      </c>
      <c r="L282" s="80">
        <f>+D359+D276</f>
        <v>60</v>
      </c>
      <c r="O282" s="87"/>
      <c r="P282" s="87"/>
      <c r="Q282" s="215"/>
      <c r="R282" s="78"/>
      <c r="S282" s="74"/>
      <c r="T282" s="216"/>
      <c r="U282" s="129"/>
      <c r="V282" s="129"/>
      <c r="W282" s="129"/>
      <c r="X282" s="129"/>
      <c r="Y282" s="355"/>
    </row>
    <row r="283" spans="1:25" ht="30" customHeight="1">
      <c r="A283" s="20" t="s">
        <v>50</v>
      </c>
      <c r="B283" s="45">
        <f>C283*1.67</f>
        <v>43.42</v>
      </c>
      <c r="C283" s="23">
        <v>26</v>
      </c>
      <c r="D283" s="23"/>
      <c r="E283" s="32"/>
      <c r="F283" s="32"/>
      <c r="G283" s="32"/>
      <c r="H283" s="45"/>
      <c r="I283" s="320"/>
      <c r="J283" s="10"/>
      <c r="K283" s="28" t="s">
        <v>35</v>
      </c>
      <c r="L283" s="82">
        <f>+D361+C330+C334+B260</f>
        <v>128</v>
      </c>
      <c r="O283" s="87"/>
      <c r="P283" s="87"/>
      <c r="Q283" s="139"/>
      <c r="R283" s="78"/>
      <c r="S283" s="74"/>
      <c r="T283" s="523"/>
      <c r="U283" s="524"/>
      <c r="V283" s="524"/>
      <c r="W283" s="524"/>
      <c r="X283" s="524"/>
      <c r="Y283" s="355"/>
    </row>
    <row r="284" spans="1:25" ht="30" customHeight="1">
      <c r="A284" s="20" t="s">
        <v>146</v>
      </c>
      <c r="B284" s="45"/>
      <c r="C284" s="23">
        <v>24</v>
      </c>
      <c r="D284" s="23"/>
      <c r="E284" s="32"/>
      <c r="F284" s="32"/>
      <c r="G284" s="32"/>
      <c r="H284" s="45"/>
      <c r="I284" s="320"/>
      <c r="J284" s="10"/>
      <c r="K284" s="28" t="s">
        <v>65</v>
      </c>
      <c r="L284" s="81">
        <f>B344</f>
        <v>1.3</v>
      </c>
      <c r="O284" s="87"/>
      <c r="P284" s="87"/>
      <c r="Q284" s="215"/>
      <c r="R284" s="78"/>
      <c r="S284" s="74"/>
      <c r="T284" s="66"/>
      <c r="U284" s="633"/>
      <c r="V284" s="633"/>
      <c r="W284" s="633"/>
      <c r="X284" s="633"/>
      <c r="Y284" s="356"/>
    </row>
    <row r="285" spans="1:25" s="83" customFormat="1" ht="30" customHeight="1">
      <c r="A285" s="53" t="s">
        <v>147</v>
      </c>
      <c r="B285" s="24">
        <f>C285*1.25</f>
        <v>28.75</v>
      </c>
      <c r="C285" s="24">
        <v>23</v>
      </c>
      <c r="D285" s="47"/>
      <c r="E285" s="38"/>
      <c r="F285" s="32"/>
      <c r="G285" s="32"/>
      <c r="H285" s="238"/>
      <c r="I285" s="320"/>
      <c r="J285" s="10"/>
      <c r="K285" s="29" t="s">
        <v>66</v>
      </c>
      <c r="L285" s="82"/>
      <c r="M285" s="80"/>
      <c r="N285" s="80"/>
      <c r="O285" s="80"/>
      <c r="P285" s="80"/>
      <c r="Q285" s="357"/>
      <c r="R285" s="77"/>
      <c r="S285" s="74"/>
      <c r="T285" s="358"/>
      <c r="U285" s="359"/>
      <c r="V285" s="633"/>
      <c r="W285" s="359"/>
      <c r="X285" s="359"/>
      <c r="Y285" s="356"/>
    </row>
    <row r="286" spans="1:25" ht="30" customHeight="1">
      <c r="A286" s="167" t="s">
        <v>43</v>
      </c>
      <c r="B286" s="24">
        <f>C286*1.33</f>
        <v>30.590000000000003</v>
      </c>
      <c r="C286" s="24">
        <v>23</v>
      </c>
      <c r="D286" s="47"/>
      <c r="E286" s="38"/>
      <c r="F286" s="32"/>
      <c r="G286" s="32"/>
      <c r="H286" s="238"/>
      <c r="I286" s="320"/>
      <c r="J286" s="10"/>
      <c r="K286" s="29" t="s">
        <v>59</v>
      </c>
      <c r="L286" s="82">
        <f>C322</f>
        <v>20</v>
      </c>
      <c r="Q286" s="357"/>
      <c r="R286" s="77"/>
      <c r="S286" s="74"/>
      <c r="T286" s="358"/>
      <c r="U286" s="359"/>
      <c r="V286" s="633"/>
      <c r="W286" s="359"/>
      <c r="X286" s="359"/>
      <c r="Y286" s="356"/>
    </row>
    <row r="287" spans="1:25" ht="30" customHeight="1">
      <c r="A287" s="167" t="s">
        <v>148</v>
      </c>
      <c r="B287" s="24"/>
      <c r="C287" s="24">
        <v>20</v>
      </c>
      <c r="D287" s="47"/>
      <c r="E287" s="38"/>
      <c r="F287" s="32"/>
      <c r="G287" s="32"/>
      <c r="H287" s="238"/>
      <c r="I287" s="320"/>
      <c r="J287" s="10"/>
      <c r="K287" s="28" t="s">
        <v>22</v>
      </c>
      <c r="L287" s="82">
        <f>C347+C280</f>
        <v>111</v>
      </c>
      <c r="Q287" s="347"/>
      <c r="R287" s="77"/>
      <c r="S287" s="74"/>
      <c r="T287" s="358"/>
      <c r="U287" s="359"/>
      <c r="V287" s="633"/>
      <c r="W287" s="359"/>
      <c r="X287" s="359"/>
      <c r="Y287" s="356"/>
    </row>
    <row r="288" spans="1:25" ht="30" customHeight="1">
      <c r="A288" s="53" t="s">
        <v>112</v>
      </c>
      <c r="B288" s="45">
        <f>C288*1.25</f>
        <v>18.75</v>
      </c>
      <c r="C288" s="23">
        <v>15</v>
      </c>
      <c r="D288" s="23"/>
      <c r="E288" s="38"/>
      <c r="F288" s="38"/>
      <c r="G288" s="38"/>
      <c r="H288" s="57"/>
      <c r="I288" s="320"/>
      <c r="J288" s="10"/>
      <c r="K288" s="28" t="s">
        <v>24</v>
      </c>
      <c r="L288" s="82">
        <f>+C288+C292+C262++C332++C338+C340++C342+C343++C291+C286+C323+C311+C313</f>
        <v>234.5</v>
      </c>
      <c r="Q288" s="200"/>
      <c r="R288" s="135"/>
      <c r="S288" s="199"/>
      <c r="T288" s="337"/>
      <c r="U288" s="187"/>
      <c r="V288" s="187"/>
      <c r="W288" s="187"/>
      <c r="X288" s="187"/>
      <c r="Y288" s="338"/>
    </row>
    <row r="289" spans="1:25" ht="30" customHeight="1">
      <c r="A289" s="59" t="s">
        <v>43</v>
      </c>
      <c r="B289" s="45">
        <f>C289*1.33</f>
        <v>19.950000000000003</v>
      </c>
      <c r="C289" s="23">
        <v>15</v>
      </c>
      <c r="D289" s="23"/>
      <c r="E289" s="38"/>
      <c r="F289" s="38"/>
      <c r="G289" s="38"/>
      <c r="H289" s="57"/>
      <c r="I289" s="320"/>
      <c r="J289" s="10"/>
      <c r="K289" s="28" t="s">
        <v>21</v>
      </c>
      <c r="L289" s="82">
        <f>C273+C354</f>
        <v>52</v>
      </c>
      <c r="Q289" s="215"/>
      <c r="R289" s="74"/>
      <c r="S289" s="74"/>
      <c r="T289" s="337"/>
      <c r="U289" s="190"/>
      <c r="V289" s="187"/>
      <c r="W289" s="187"/>
      <c r="X289" s="187"/>
      <c r="Y289" s="338"/>
    </row>
    <row r="290" spans="1:25" ht="30" customHeight="1">
      <c r="A290" s="167" t="s">
        <v>115</v>
      </c>
      <c r="B290" s="24"/>
      <c r="C290" s="24">
        <v>13</v>
      </c>
      <c r="D290" s="47"/>
      <c r="E290" s="38"/>
      <c r="F290" s="32"/>
      <c r="G290" s="32"/>
      <c r="H290" s="238"/>
      <c r="I290" s="320"/>
      <c r="J290" s="10"/>
      <c r="K290" s="28" t="s">
        <v>25</v>
      </c>
      <c r="L290" s="82"/>
      <c r="Q290" s="347"/>
      <c r="R290" s="131"/>
      <c r="S290" s="131"/>
      <c r="T290" s="337"/>
      <c r="U290" s="190"/>
      <c r="V290" s="187"/>
      <c r="W290" s="187"/>
      <c r="X290" s="187"/>
      <c r="Y290" s="338"/>
    </row>
    <row r="291" spans="1:25" ht="30" customHeight="1">
      <c r="A291" s="115" t="s">
        <v>443</v>
      </c>
      <c r="B291" s="46">
        <f>C291*1.82</f>
        <v>54.6</v>
      </c>
      <c r="C291" s="22">
        <v>30</v>
      </c>
      <c r="D291" s="23"/>
      <c r="E291" s="60"/>
      <c r="F291" s="60"/>
      <c r="G291" s="60"/>
      <c r="H291" s="351"/>
      <c r="I291" s="320"/>
      <c r="J291" s="10"/>
      <c r="K291" s="28" t="s">
        <v>61</v>
      </c>
      <c r="N291" s="680"/>
      <c r="O291" s="680"/>
      <c r="P291" s="680"/>
      <c r="Q291" s="66"/>
      <c r="R291" s="633"/>
      <c r="S291" s="633"/>
      <c r="T291" s="633"/>
      <c r="U291" s="560"/>
      <c r="V291" s="356"/>
      <c r="W291" s="187"/>
      <c r="X291" s="187"/>
      <c r="Y291" s="338"/>
    </row>
    <row r="292" spans="1:25" ht="30" customHeight="1">
      <c r="A292" s="102" t="s">
        <v>368</v>
      </c>
      <c r="B292" s="24">
        <f>C292*1.54</f>
        <v>15.4</v>
      </c>
      <c r="C292" s="52">
        <v>10</v>
      </c>
      <c r="D292" s="47"/>
      <c r="E292" s="32"/>
      <c r="F292" s="38"/>
      <c r="G292" s="38"/>
      <c r="H292" s="57"/>
      <c r="I292" s="320"/>
      <c r="J292" s="10"/>
      <c r="K292" s="28" t="s">
        <v>20</v>
      </c>
      <c r="L292" s="82">
        <f>C274+C358+B345</f>
        <v>28.5</v>
      </c>
      <c r="N292" s="215"/>
      <c r="O292" s="78"/>
      <c r="P292" s="78"/>
      <c r="Q292" s="79"/>
      <c r="R292" s="76"/>
      <c r="S292" s="129"/>
      <c r="T292" s="129"/>
      <c r="U292" s="634"/>
      <c r="V292" s="76"/>
      <c r="W292" s="361"/>
      <c r="X292" s="633"/>
      <c r="Y292" s="356"/>
    </row>
    <row r="293" spans="1:25" ht="30" customHeight="1">
      <c r="A293" s="20" t="s">
        <v>44</v>
      </c>
      <c r="B293" s="26">
        <v>5</v>
      </c>
      <c r="C293" s="22">
        <v>5</v>
      </c>
      <c r="D293" s="23"/>
      <c r="E293" s="32"/>
      <c r="F293" s="32"/>
      <c r="G293" s="32"/>
      <c r="H293" s="45"/>
      <c r="I293" s="474"/>
      <c r="J293" s="10"/>
      <c r="K293" s="28" t="s">
        <v>26</v>
      </c>
      <c r="N293" s="213"/>
      <c r="O293" s="78"/>
      <c r="P293" s="78"/>
      <c r="Q293" s="79"/>
      <c r="R293" s="76"/>
      <c r="S293" s="129"/>
      <c r="T293" s="129"/>
      <c r="U293" s="634"/>
      <c r="V293" s="76"/>
      <c r="W293" s="633"/>
      <c r="X293" s="633"/>
      <c r="Y293" s="362"/>
    </row>
    <row r="294" spans="1:25" ht="30" customHeight="1">
      <c r="A294" s="692" t="s">
        <v>95</v>
      </c>
      <c r="B294" s="692"/>
      <c r="C294" s="692"/>
      <c r="D294" s="692"/>
      <c r="E294" s="692"/>
      <c r="F294" s="692"/>
      <c r="G294" s="692"/>
      <c r="H294" s="692"/>
      <c r="I294" s="692"/>
      <c r="J294" s="10"/>
      <c r="K294" s="27" t="s">
        <v>79</v>
      </c>
      <c r="L294" s="82"/>
      <c r="N294" s="213"/>
      <c r="O294" s="78"/>
      <c r="P294" s="78"/>
      <c r="Q294" s="79"/>
      <c r="R294" s="76"/>
      <c r="S294" s="129"/>
      <c r="T294" s="129"/>
      <c r="U294" s="634"/>
      <c r="V294" s="76"/>
      <c r="W294" s="129"/>
      <c r="X294" s="129"/>
      <c r="Y294" s="356"/>
    </row>
    <row r="295" spans="1:25" ht="30" customHeight="1">
      <c r="A295" s="684" t="s">
        <v>252</v>
      </c>
      <c r="B295" s="684"/>
      <c r="C295" s="684"/>
      <c r="D295" s="1">
        <v>100</v>
      </c>
      <c r="E295" s="2">
        <v>1</v>
      </c>
      <c r="F295" s="2">
        <v>5.1</v>
      </c>
      <c r="G295" s="2">
        <v>3.5</v>
      </c>
      <c r="H295" s="3">
        <f>E295*4+F295*9+G295*4</f>
        <v>63.9</v>
      </c>
      <c r="I295" s="294" t="s">
        <v>253</v>
      </c>
      <c r="J295" s="10"/>
      <c r="K295" s="28" t="s">
        <v>27</v>
      </c>
      <c r="L295" s="82">
        <f>C272</f>
        <v>2</v>
      </c>
      <c r="N295" s="215"/>
      <c r="O295" s="78"/>
      <c r="P295" s="216"/>
      <c r="Q295" s="216"/>
      <c r="R295" s="129"/>
      <c r="S295" s="129"/>
      <c r="T295" s="129"/>
      <c r="U295" s="78"/>
      <c r="V295" s="362"/>
      <c r="W295" s="129"/>
      <c r="X295" s="129"/>
      <c r="Y295" s="356"/>
    </row>
    <row r="296" spans="1:25" ht="30" customHeight="1">
      <c r="A296" s="25" t="s">
        <v>75</v>
      </c>
      <c r="B296" s="49">
        <f>C296*1.02</f>
        <v>96.9</v>
      </c>
      <c r="C296" s="149">
        <v>95</v>
      </c>
      <c r="D296" s="164"/>
      <c r="E296" s="2"/>
      <c r="F296" s="2"/>
      <c r="G296" s="2"/>
      <c r="H296" s="3"/>
      <c r="I296" s="294"/>
      <c r="J296" s="10"/>
      <c r="K296" s="27" t="s">
        <v>199</v>
      </c>
      <c r="L296" s="262"/>
      <c r="N296" s="215"/>
      <c r="O296" s="78"/>
      <c r="P296" s="216"/>
      <c r="Q296" s="216"/>
      <c r="R296" s="129"/>
      <c r="S296" s="129"/>
      <c r="T296" s="129"/>
      <c r="U296" s="78"/>
      <c r="V296" s="362"/>
      <c r="W296" s="187"/>
      <c r="X296" s="187"/>
      <c r="Y296" s="356"/>
    </row>
    <row r="297" spans="1:22" ht="30" customHeight="1">
      <c r="A297" s="102" t="s">
        <v>89</v>
      </c>
      <c r="B297" s="157">
        <f>C297*1.18</f>
        <v>112.1</v>
      </c>
      <c r="C297" s="149">
        <v>95</v>
      </c>
      <c r="D297" s="164"/>
      <c r="E297" s="2"/>
      <c r="F297" s="2"/>
      <c r="G297" s="2"/>
      <c r="H297" s="3"/>
      <c r="I297" s="294"/>
      <c r="J297" s="10"/>
      <c r="K297" s="28" t="s">
        <v>67</v>
      </c>
      <c r="L297" s="82">
        <f>C328+C327</f>
        <v>74</v>
      </c>
      <c r="N297" s="215"/>
      <c r="O297" s="78"/>
      <c r="P297" s="216"/>
      <c r="Q297" s="216"/>
      <c r="R297" s="129"/>
      <c r="S297" s="129"/>
      <c r="T297" s="129"/>
      <c r="U297" s="78"/>
      <c r="V297" s="356"/>
    </row>
    <row r="298" spans="1:22" ht="30" customHeight="1">
      <c r="A298" s="165" t="s">
        <v>118</v>
      </c>
      <c r="B298" s="166">
        <v>5</v>
      </c>
      <c r="C298" s="166">
        <v>5</v>
      </c>
      <c r="D298" s="164"/>
      <c r="E298" s="2"/>
      <c r="F298" s="2"/>
      <c r="G298" s="2"/>
      <c r="H298" s="3"/>
      <c r="I298" s="304"/>
      <c r="J298" s="10"/>
      <c r="K298" s="27" t="s">
        <v>200</v>
      </c>
      <c r="L298" s="263"/>
      <c r="N298" s="215"/>
      <c r="O298" s="78"/>
      <c r="P298" s="216"/>
      <c r="Q298" s="216"/>
      <c r="R298" s="129"/>
      <c r="S298" s="129"/>
      <c r="T298" s="129"/>
      <c r="U298" s="78"/>
      <c r="V298" s="356"/>
    </row>
    <row r="299" spans="1:22" ht="30" customHeight="1">
      <c r="A299" s="691" t="s">
        <v>521</v>
      </c>
      <c r="B299" s="691"/>
      <c r="C299" s="691"/>
      <c r="D299" s="244" t="s">
        <v>509</v>
      </c>
      <c r="E299" s="21">
        <v>5.9</v>
      </c>
      <c r="F299" s="21">
        <v>9.5</v>
      </c>
      <c r="G299" s="21">
        <v>14.1</v>
      </c>
      <c r="H299" s="238">
        <f>E299*4+F299*9+G299*4</f>
        <v>165.5</v>
      </c>
      <c r="I299" s="302" t="s">
        <v>502</v>
      </c>
      <c r="J299" s="10"/>
      <c r="K299" s="27" t="s">
        <v>62</v>
      </c>
      <c r="L299" s="82">
        <f>C302</f>
        <v>28</v>
      </c>
      <c r="N299" s="215"/>
      <c r="O299" s="78"/>
      <c r="P299" s="216"/>
      <c r="Q299" s="216"/>
      <c r="R299" s="129"/>
      <c r="S299" s="129"/>
      <c r="T299" s="129"/>
      <c r="U299" s="78"/>
      <c r="V299" s="356"/>
    </row>
    <row r="300" spans="1:22" ht="30" customHeight="1">
      <c r="A300" s="54" t="s">
        <v>503</v>
      </c>
      <c r="B300" s="37">
        <f>C300*1.12</f>
        <v>58.24000000000001</v>
      </c>
      <c r="C300" s="24">
        <v>52</v>
      </c>
      <c r="D300" s="33"/>
      <c r="E300" s="270"/>
      <c r="F300" s="270"/>
      <c r="G300" s="270"/>
      <c r="H300" s="24"/>
      <c r="I300" s="270"/>
      <c r="J300" s="10"/>
      <c r="K300" s="28" t="s">
        <v>28</v>
      </c>
      <c r="L300" s="82"/>
      <c r="N300" s="215"/>
      <c r="O300" s="78"/>
      <c r="P300" s="216"/>
      <c r="Q300" s="216"/>
      <c r="R300" s="76"/>
      <c r="S300" s="76"/>
      <c r="T300" s="76"/>
      <c r="U300" s="74"/>
      <c r="V300" s="561"/>
    </row>
    <row r="301" spans="1:22" ht="30" customHeight="1">
      <c r="A301" s="54" t="s">
        <v>504</v>
      </c>
      <c r="B301" s="37">
        <f>C301*1.04</f>
        <v>37.44</v>
      </c>
      <c r="C301" s="24">
        <v>36</v>
      </c>
      <c r="D301" s="420"/>
      <c r="E301" s="421"/>
      <c r="F301" s="38"/>
      <c r="G301" s="38"/>
      <c r="H301" s="104"/>
      <c r="I301" s="422"/>
      <c r="J301" s="10"/>
      <c r="K301" s="30" t="s">
        <v>29</v>
      </c>
      <c r="L301" s="82">
        <f>+C331+C267+C351</f>
        <v>75</v>
      </c>
      <c r="N301" s="139"/>
      <c r="O301" s="78"/>
      <c r="P301" s="216"/>
      <c r="Q301" s="216"/>
      <c r="R301" s="76"/>
      <c r="S301" s="76"/>
      <c r="T301" s="76"/>
      <c r="U301" s="74"/>
      <c r="V301" s="561"/>
    </row>
    <row r="302" spans="1:22" ht="30" customHeight="1">
      <c r="A302" s="171" t="s">
        <v>505</v>
      </c>
      <c r="B302" s="126">
        <f>C302*1.054</f>
        <v>29.512</v>
      </c>
      <c r="C302" s="23">
        <v>28</v>
      </c>
      <c r="D302" s="282"/>
      <c r="E302" s="440"/>
      <c r="F302" s="33"/>
      <c r="G302" s="33"/>
      <c r="H302" s="24"/>
      <c r="I302" s="441"/>
      <c r="J302" s="10"/>
      <c r="K302" s="72" t="s">
        <v>85</v>
      </c>
      <c r="L302" s="82">
        <f>D275</f>
        <v>125</v>
      </c>
      <c r="M302" s="40"/>
      <c r="N302" s="213"/>
      <c r="O302" s="78"/>
      <c r="P302" s="78"/>
      <c r="Q302" s="79"/>
      <c r="R302" s="76"/>
      <c r="S302" s="129"/>
      <c r="T302" s="129"/>
      <c r="U302" s="634"/>
      <c r="V302" s="76"/>
    </row>
    <row r="303" spans="1:22" ht="30" customHeight="1">
      <c r="A303" s="115" t="s">
        <v>112</v>
      </c>
      <c r="B303" s="43">
        <f>C303*1.25</f>
        <v>3.75</v>
      </c>
      <c r="C303" s="26">
        <v>3</v>
      </c>
      <c r="D303" s="234"/>
      <c r="E303" s="32"/>
      <c r="F303" s="32"/>
      <c r="G303" s="32"/>
      <c r="H303" s="45"/>
      <c r="I303" s="21"/>
      <c r="J303" s="9"/>
      <c r="K303" s="27" t="s">
        <v>30</v>
      </c>
      <c r="L303" s="82"/>
      <c r="N303" s="215"/>
      <c r="O303" s="74"/>
      <c r="P303" s="216"/>
      <c r="Q303" s="216"/>
      <c r="R303" s="562"/>
      <c r="S303" s="562"/>
      <c r="T303" s="562"/>
      <c r="U303" s="563"/>
      <c r="V303" s="373"/>
    </row>
    <row r="304" spans="1:22" ht="30" customHeight="1">
      <c r="A304" s="115" t="s">
        <v>43</v>
      </c>
      <c r="B304" s="26">
        <f>C304*1.33</f>
        <v>3.99</v>
      </c>
      <c r="C304" s="26">
        <v>3</v>
      </c>
      <c r="D304" s="234"/>
      <c r="E304" s="32"/>
      <c r="F304" s="32"/>
      <c r="G304" s="32"/>
      <c r="H304" s="45"/>
      <c r="I304" s="21"/>
      <c r="J304" s="9"/>
      <c r="K304" s="27" t="s">
        <v>31</v>
      </c>
      <c r="L304" s="82"/>
      <c r="N304" s="139"/>
      <c r="O304" s="78"/>
      <c r="P304" s="74"/>
      <c r="Q304" s="79"/>
      <c r="R304" s="129"/>
      <c r="S304" s="76"/>
      <c r="T304" s="76"/>
      <c r="U304" s="74"/>
      <c r="V304" s="76"/>
    </row>
    <row r="305" spans="1:22" ht="30" customHeight="1">
      <c r="A305" s="20" t="s">
        <v>51</v>
      </c>
      <c r="B305" s="43">
        <f>C305*1.19</f>
        <v>3.57</v>
      </c>
      <c r="C305" s="24">
        <v>3</v>
      </c>
      <c r="D305" s="234"/>
      <c r="E305" s="32"/>
      <c r="F305" s="32"/>
      <c r="G305" s="32"/>
      <c r="H305" s="45"/>
      <c r="I305" s="21"/>
      <c r="J305" s="9"/>
      <c r="K305" s="28" t="s">
        <v>68</v>
      </c>
      <c r="L305" s="82">
        <f>C264</f>
        <v>15</v>
      </c>
      <c r="N305" s="215"/>
      <c r="O305" s="78"/>
      <c r="P305" s="216"/>
      <c r="Q305" s="216"/>
      <c r="R305" s="129"/>
      <c r="S305" s="129"/>
      <c r="T305" s="129"/>
      <c r="U305" s="78"/>
      <c r="V305" s="356"/>
    </row>
    <row r="306" spans="1:12" ht="30" customHeight="1">
      <c r="A306" s="20" t="s">
        <v>60</v>
      </c>
      <c r="B306" s="26">
        <v>288</v>
      </c>
      <c r="C306" s="24">
        <v>288</v>
      </c>
      <c r="D306" s="234"/>
      <c r="E306" s="32"/>
      <c r="F306" s="32"/>
      <c r="G306" s="32"/>
      <c r="H306" s="45"/>
      <c r="I306" s="21"/>
      <c r="J306" s="9"/>
      <c r="K306" s="27" t="s">
        <v>32</v>
      </c>
      <c r="L306" s="81">
        <f>C352+C325+B270+B261</f>
        <v>23</v>
      </c>
    </row>
    <row r="307" spans="1:12" ht="30" customHeight="1">
      <c r="A307" s="20" t="s">
        <v>508</v>
      </c>
      <c r="B307" s="26">
        <v>225</v>
      </c>
      <c r="C307" s="24">
        <v>225</v>
      </c>
      <c r="D307" s="234"/>
      <c r="E307" s="32"/>
      <c r="F307" s="32"/>
      <c r="G307" s="32"/>
      <c r="H307" s="45"/>
      <c r="I307" s="21"/>
      <c r="J307" s="9"/>
      <c r="K307" s="27" t="s">
        <v>23</v>
      </c>
      <c r="L307" s="82">
        <f>+C293+B335++C339+B268</f>
        <v>13</v>
      </c>
    </row>
    <row r="308" spans="1:12" ht="30" customHeight="1">
      <c r="A308" s="691" t="s">
        <v>506</v>
      </c>
      <c r="B308" s="691"/>
      <c r="C308" s="691"/>
      <c r="D308" s="244" t="s">
        <v>509</v>
      </c>
      <c r="E308" s="21">
        <v>5.7</v>
      </c>
      <c r="F308" s="21">
        <v>9.1</v>
      </c>
      <c r="G308" s="21">
        <v>14.1</v>
      </c>
      <c r="H308" s="238">
        <f>E308*4+F308*9+G308*4</f>
        <v>161.1</v>
      </c>
      <c r="I308" s="302" t="s">
        <v>502</v>
      </c>
      <c r="J308" s="9"/>
      <c r="K308" s="28" t="s">
        <v>33</v>
      </c>
      <c r="L308" s="82">
        <f>B333+B266</f>
        <v>129</v>
      </c>
    </row>
    <row r="309" spans="1:11" ht="30" customHeight="1">
      <c r="A309" s="132" t="s">
        <v>45</v>
      </c>
      <c r="B309" s="37">
        <f>C309*1.36</f>
        <v>43.52</v>
      </c>
      <c r="C309" s="24">
        <v>32</v>
      </c>
      <c r="D309" s="33"/>
      <c r="E309" s="32"/>
      <c r="F309" s="32"/>
      <c r="G309" s="32"/>
      <c r="H309" s="45"/>
      <c r="I309" s="32"/>
      <c r="J309" s="9"/>
      <c r="K309" s="28" t="s">
        <v>78</v>
      </c>
    </row>
    <row r="310" spans="1:11" ht="30" customHeight="1">
      <c r="A310" s="132" t="s">
        <v>46</v>
      </c>
      <c r="B310" s="37">
        <f>C310*1.18</f>
        <v>37.76</v>
      </c>
      <c r="C310" s="33">
        <v>32</v>
      </c>
      <c r="D310" s="398"/>
      <c r="E310" s="399"/>
      <c r="F310" s="399"/>
      <c r="G310" s="399"/>
      <c r="H310" s="316"/>
      <c r="I310" s="399"/>
      <c r="J310" s="9"/>
      <c r="K310" s="264" t="s">
        <v>193</v>
      </c>
    </row>
    <row r="311" spans="1:10" ht="30" customHeight="1">
      <c r="A311" s="115" t="s">
        <v>112</v>
      </c>
      <c r="B311" s="43">
        <f>C311*1.25</f>
        <v>3.75</v>
      </c>
      <c r="C311" s="26">
        <v>3</v>
      </c>
      <c r="D311" s="234"/>
      <c r="E311" s="32"/>
      <c r="F311" s="32"/>
      <c r="G311" s="32"/>
      <c r="H311" s="45"/>
      <c r="I311" s="21"/>
      <c r="J311" s="9"/>
    </row>
    <row r="312" spans="1:10" ht="30" customHeight="1">
      <c r="A312" s="115" t="s">
        <v>43</v>
      </c>
      <c r="B312" s="26">
        <f>C312*1.33</f>
        <v>3.99</v>
      </c>
      <c r="C312" s="26">
        <v>3</v>
      </c>
      <c r="D312" s="234"/>
      <c r="E312" s="32"/>
      <c r="F312" s="32"/>
      <c r="G312" s="32"/>
      <c r="H312" s="45"/>
      <c r="I312" s="21"/>
      <c r="J312" s="9"/>
    </row>
    <row r="313" spans="1:10" ht="30" customHeight="1">
      <c r="A313" s="20" t="s">
        <v>51</v>
      </c>
      <c r="B313" s="43">
        <f>C313*1.19</f>
        <v>3.57</v>
      </c>
      <c r="C313" s="24">
        <v>3</v>
      </c>
      <c r="D313" s="234"/>
      <c r="E313" s="32"/>
      <c r="F313" s="32"/>
      <c r="G313" s="32"/>
      <c r="H313" s="45"/>
      <c r="I313" s="21"/>
      <c r="J313" s="9"/>
    </row>
    <row r="314" spans="1:10" ht="30" customHeight="1">
      <c r="A314" s="20" t="s">
        <v>60</v>
      </c>
      <c r="B314" s="26">
        <v>288</v>
      </c>
      <c r="C314" s="24">
        <v>288</v>
      </c>
      <c r="D314" s="234"/>
      <c r="E314" s="32"/>
      <c r="F314" s="32"/>
      <c r="G314" s="32"/>
      <c r="H314" s="45"/>
      <c r="I314" s="21"/>
      <c r="J314" s="9"/>
    </row>
    <row r="315" spans="1:10" ht="30" customHeight="1">
      <c r="A315" s="20" t="s">
        <v>510</v>
      </c>
      <c r="B315" s="26">
        <v>225</v>
      </c>
      <c r="C315" s="24">
        <v>225</v>
      </c>
      <c r="D315" s="234"/>
      <c r="E315" s="32"/>
      <c r="F315" s="32"/>
      <c r="G315" s="32"/>
      <c r="H315" s="45"/>
      <c r="I315" s="21"/>
      <c r="J315" s="9"/>
    </row>
    <row r="316" spans="1:10" ht="30" customHeight="1">
      <c r="A316" s="591" t="s">
        <v>381</v>
      </c>
      <c r="B316" s="24"/>
      <c r="C316" s="592">
        <v>20</v>
      </c>
      <c r="D316" s="282"/>
      <c r="E316" s="292"/>
      <c r="F316" s="283"/>
      <c r="G316" s="283"/>
      <c r="H316" s="454"/>
      <c r="I316" s="302" t="s">
        <v>507</v>
      </c>
      <c r="J316" s="9"/>
    </row>
    <row r="317" spans="1:25" ht="30" customHeight="1">
      <c r="A317" s="100" t="s">
        <v>54</v>
      </c>
      <c r="B317" s="162">
        <v>18</v>
      </c>
      <c r="C317" s="57">
        <v>18</v>
      </c>
      <c r="D317" s="289"/>
      <c r="E317" s="38"/>
      <c r="F317" s="38"/>
      <c r="G317" s="38"/>
      <c r="H317" s="57"/>
      <c r="I317" s="306"/>
      <c r="J317" s="9"/>
      <c r="Q317" s="703"/>
      <c r="R317" s="703"/>
      <c r="S317" s="703"/>
      <c r="T317" s="334"/>
      <c r="U317" s="335"/>
      <c r="V317" s="335"/>
      <c r="W317" s="335"/>
      <c r="X317" s="335"/>
      <c r="Y317" s="336"/>
    </row>
    <row r="318" spans="1:25" ht="30" customHeight="1">
      <c r="A318" s="100" t="s">
        <v>218</v>
      </c>
      <c r="B318" s="177">
        <v>1.2</v>
      </c>
      <c r="C318" s="50">
        <v>1.2</v>
      </c>
      <c r="D318" s="290"/>
      <c r="E318" s="50"/>
      <c r="F318" s="50"/>
      <c r="G318" s="50"/>
      <c r="H318" s="57"/>
      <c r="I318" s="298"/>
      <c r="J318" s="9"/>
      <c r="Q318" s="180"/>
      <c r="R318" s="363"/>
      <c r="S318" s="364"/>
      <c r="T318" s="256"/>
      <c r="U318" s="335"/>
      <c r="V318" s="335"/>
      <c r="W318" s="335"/>
      <c r="X318" s="335"/>
      <c r="Y318" s="336"/>
    </row>
    <row r="319" spans="1:25" ht="30" customHeight="1">
      <c r="A319" s="25" t="s">
        <v>91</v>
      </c>
      <c r="B319" s="161">
        <v>5</v>
      </c>
      <c r="C319" s="46">
        <v>5</v>
      </c>
      <c r="D319" s="46"/>
      <c r="E319" s="50"/>
      <c r="F319" s="50"/>
      <c r="G319" s="50"/>
      <c r="H319" s="238"/>
      <c r="I319" s="297"/>
      <c r="J319" s="9"/>
      <c r="Q319" s="365"/>
      <c r="R319" s="366"/>
      <c r="S319" s="364"/>
      <c r="T319" s="256"/>
      <c r="U319" s="335"/>
      <c r="V319" s="335"/>
      <c r="W319" s="335"/>
      <c r="X319" s="335"/>
      <c r="Y319" s="336"/>
    </row>
    <row r="320" spans="1:25" ht="30" customHeight="1">
      <c r="A320" s="100" t="s">
        <v>60</v>
      </c>
      <c r="B320" s="163">
        <v>3.5</v>
      </c>
      <c r="C320" s="38">
        <v>3.5</v>
      </c>
      <c r="D320" s="58"/>
      <c r="E320" s="38"/>
      <c r="F320" s="38"/>
      <c r="G320" s="38"/>
      <c r="H320" s="238"/>
      <c r="I320" s="300"/>
      <c r="J320" s="9"/>
      <c r="Q320" s="367"/>
      <c r="R320" s="368"/>
      <c r="S320" s="368"/>
      <c r="T320" s="256"/>
      <c r="U320" s="335"/>
      <c r="V320" s="335"/>
      <c r="W320" s="335"/>
      <c r="X320" s="335"/>
      <c r="Y320" s="336"/>
    </row>
    <row r="321" spans="1:25" ht="30" customHeight="1">
      <c r="A321" s="20" t="s">
        <v>219</v>
      </c>
      <c r="B321" s="163">
        <v>0.5</v>
      </c>
      <c r="C321" s="38">
        <v>0.5</v>
      </c>
      <c r="D321" s="58"/>
      <c r="E321" s="38"/>
      <c r="F321" s="38"/>
      <c r="G321" s="38"/>
      <c r="H321" s="238"/>
      <c r="I321" s="300"/>
      <c r="J321" s="9"/>
      <c r="Q321" s="180"/>
      <c r="R321" s="138"/>
      <c r="S321" s="369"/>
      <c r="T321" s="337"/>
      <c r="U321" s="187"/>
      <c r="V321" s="187"/>
      <c r="W321" s="187"/>
      <c r="X321" s="187"/>
      <c r="Y321" s="355"/>
    </row>
    <row r="322" spans="1:25" ht="30" customHeight="1">
      <c r="A322" s="100" t="s">
        <v>220</v>
      </c>
      <c r="B322" s="161">
        <v>20</v>
      </c>
      <c r="C322" s="46">
        <v>20</v>
      </c>
      <c r="D322" s="47"/>
      <c r="E322" s="50"/>
      <c r="F322" s="50"/>
      <c r="G322" s="50"/>
      <c r="H322" s="238"/>
      <c r="I322" s="297"/>
      <c r="J322" s="9"/>
      <c r="Q322" s="678"/>
      <c r="R322" s="678"/>
      <c r="S322" s="678"/>
      <c r="T322" s="334"/>
      <c r="U322" s="633"/>
      <c r="V322" s="633"/>
      <c r="W322" s="633"/>
      <c r="X322" s="634"/>
      <c r="Y322" s="370"/>
    </row>
    <row r="323" spans="1:25" ht="30" customHeight="1">
      <c r="A323" s="20" t="s">
        <v>75</v>
      </c>
      <c r="B323" s="43">
        <f>C323*1.02</f>
        <v>20.4</v>
      </c>
      <c r="C323" s="22">
        <v>20</v>
      </c>
      <c r="D323" s="22"/>
      <c r="E323" s="43"/>
      <c r="F323" s="43"/>
      <c r="G323" s="43"/>
      <c r="H323" s="43"/>
      <c r="I323" s="43"/>
      <c r="J323" s="9"/>
      <c r="Q323" s="357"/>
      <c r="R323" s="371"/>
      <c r="S323" s="371"/>
      <c r="T323" s="77"/>
      <c r="U323" s="187"/>
      <c r="V323" s="187"/>
      <c r="W323" s="187"/>
      <c r="X323" s="337"/>
      <c r="Y323" s="338"/>
    </row>
    <row r="324" spans="1:25" ht="30" customHeight="1">
      <c r="A324" s="59" t="s">
        <v>89</v>
      </c>
      <c r="B324" s="45">
        <f>1.18*C324</f>
        <v>23.599999999999998</v>
      </c>
      <c r="C324" s="22">
        <v>20</v>
      </c>
      <c r="D324" s="221"/>
      <c r="E324" s="221"/>
      <c r="F324" s="221"/>
      <c r="G324" s="221"/>
      <c r="H324" s="221"/>
      <c r="I324" s="221"/>
      <c r="J324" s="9"/>
      <c r="Q324" s="357"/>
      <c r="R324" s="371"/>
      <c r="S324" s="371"/>
      <c r="T324" s="77"/>
      <c r="U324" s="187"/>
      <c r="V324" s="187"/>
      <c r="W324" s="187"/>
      <c r="X324" s="337"/>
      <c r="Y324" s="338"/>
    </row>
    <row r="325" spans="1:25" ht="30" customHeight="1">
      <c r="A325" s="100" t="s">
        <v>70</v>
      </c>
      <c r="B325" s="162">
        <v>5</v>
      </c>
      <c r="C325" s="57">
        <v>5</v>
      </c>
      <c r="D325" s="58"/>
      <c r="E325" s="291"/>
      <c r="F325" s="291"/>
      <c r="G325" s="291"/>
      <c r="H325" s="538"/>
      <c r="I325" s="300"/>
      <c r="J325" s="9"/>
      <c r="Q325" s="347"/>
      <c r="R325" s="371"/>
      <c r="S325" s="371"/>
      <c r="T325" s="77"/>
      <c r="U325" s="187"/>
      <c r="V325" s="187"/>
      <c r="W325" s="187"/>
      <c r="X325" s="337"/>
      <c r="Y325" s="338"/>
    </row>
    <row r="326" spans="1:25" ht="30" customHeight="1">
      <c r="A326" s="671" t="s">
        <v>560</v>
      </c>
      <c r="B326" s="671"/>
      <c r="C326" s="671"/>
      <c r="D326" s="1">
        <v>100</v>
      </c>
      <c r="E326" s="2">
        <v>14.8</v>
      </c>
      <c r="F326" s="2">
        <v>12.7</v>
      </c>
      <c r="G326" s="2">
        <v>12</v>
      </c>
      <c r="H326" s="3">
        <f>E326*4+F326*9+G326*4</f>
        <v>221.5</v>
      </c>
      <c r="I326" s="294" t="s">
        <v>222</v>
      </c>
      <c r="J326" s="9"/>
      <c r="Q326" s="347"/>
      <c r="R326" s="371"/>
      <c r="S326" s="371"/>
      <c r="T326" s="77"/>
      <c r="U326" s="187"/>
      <c r="V326" s="187"/>
      <c r="W326" s="187"/>
      <c r="X326" s="337"/>
      <c r="Y326" s="338"/>
    </row>
    <row r="327" spans="1:25" ht="30" customHeight="1">
      <c r="A327" s="132" t="s">
        <v>328</v>
      </c>
      <c r="B327" s="37">
        <f>C327*1.17</f>
        <v>43.29</v>
      </c>
      <c r="C327" s="57">
        <v>37</v>
      </c>
      <c r="D327" s="1"/>
      <c r="E327" s="2"/>
      <c r="F327" s="2"/>
      <c r="G327" s="2"/>
      <c r="H327" s="3"/>
      <c r="I327" s="294"/>
      <c r="J327" s="9"/>
      <c r="Q327" s="347"/>
      <c r="R327" s="372"/>
      <c r="S327" s="371"/>
      <c r="T327" s="337"/>
      <c r="U327" s="129"/>
      <c r="V327" s="129"/>
      <c r="W327" s="129"/>
      <c r="X327" s="634"/>
      <c r="Y327" s="370"/>
    </row>
    <row r="328" spans="1:25" ht="30" customHeight="1">
      <c r="A328" s="132" t="s">
        <v>45</v>
      </c>
      <c r="B328" s="37">
        <f>C328*1.36</f>
        <v>50.32</v>
      </c>
      <c r="C328" s="57">
        <v>37</v>
      </c>
      <c r="D328" s="22"/>
      <c r="E328" s="43"/>
      <c r="F328" s="43"/>
      <c r="G328" s="43"/>
      <c r="H328" s="26"/>
      <c r="I328" s="43"/>
      <c r="J328" s="9"/>
      <c r="Q328" s="215"/>
      <c r="R328" s="78"/>
      <c r="S328" s="78"/>
      <c r="T328" s="337"/>
      <c r="U328" s="129"/>
      <c r="V328" s="129"/>
      <c r="W328" s="129"/>
      <c r="X328" s="129"/>
      <c r="Y328" s="362"/>
    </row>
    <row r="329" spans="1:25" ht="30" customHeight="1">
      <c r="A329" s="132" t="s">
        <v>46</v>
      </c>
      <c r="B329" s="37">
        <f>C329*1.18</f>
        <v>43.66</v>
      </c>
      <c r="C329" s="57">
        <v>37</v>
      </c>
      <c r="D329" s="22"/>
      <c r="E329" s="43"/>
      <c r="F329" s="43"/>
      <c r="G329" s="43"/>
      <c r="H329" s="26"/>
      <c r="I329" s="295"/>
      <c r="J329" s="9"/>
      <c r="Q329" s="215"/>
      <c r="R329" s="78"/>
      <c r="S329" s="78"/>
      <c r="T329" s="337"/>
      <c r="U329" s="129"/>
      <c r="V329" s="129"/>
      <c r="W329" s="129"/>
      <c r="X329" s="78"/>
      <c r="Y329" s="370"/>
    </row>
    <row r="330" spans="1:25" ht="30" customHeight="1">
      <c r="A330" s="147" t="s">
        <v>42</v>
      </c>
      <c r="B330" s="23">
        <v>18</v>
      </c>
      <c r="C330" s="23">
        <v>18</v>
      </c>
      <c r="D330" s="22"/>
      <c r="E330" s="43"/>
      <c r="F330" s="43"/>
      <c r="G330" s="43"/>
      <c r="H330" s="26"/>
      <c r="I330" s="295"/>
      <c r="J330" s="9"/>
      <c r="Q330" s="215"/>
      <c r="R330" s="78"/>
      <c r="S330" s="78"/>
      <c r="T330" s="337"/>
      <c r="U330" s="129"/>
      <c r="V330" s="129"/>
      <c r="W330" s="129"/>
      <c r="X330" s="78"/>
      <c r="Y330" s="370"/>
    </row>
    <row r="331" spans="1:25" ht="30" customHeight="1">
      <c r="A331" s="53" t="s">
        <v>326</v>
      </c>
      <c r="B331" s="23">
        <v>12</v>
      </c>
      <c r="C331" s="23">
        <v>12</v>
      </c>
      <c r="D331" s="22"/>
      <c r="E331" s="43"/>
      <c r="F331" s="43"/>
      <c r="G331" s="43"/>
      <c r="H331" s="26"/>
      <c r="I331" s="295"/>
      <c r="J331" s="9"/>
      <c r="M331" s="202"/>
      <c r="N331" s="134"/>
      <c r="Q331" s="215"/>
      <c r="R331" s="78"/>
      <c r="S331" s="78"/>
      <c r="T331" s="337"/>
      <c r="U331" s="129"/>
      <c r="V331" s="129"/>
      <c r="W331" s="129"/>
      <c r="X331" s="129"/>
      <c r="Y331" s="362"/>
    </row>
    <row r="332" spans="1:25" ht="30" customHeight="1">
      <c r="A332" s="101" t="s">
        <v>51</v>
      </c>
      <c r="B332" s="437">
        <f>C332*1.19</f>
        <v>9.52</v>
      </c>
      <c r="C332" s="146">
        <v>8</v>
      </c>
      <c r="D332" s="22"/>
      <c r="E332" s="43"/>
      <c r="F332" s="43"/>
      <c r="G332" s="43"/>
      <c r="H332" s="26"/>
      <c r="I332" s="295"/>
      <c r="J332" s="9"/>
      <c r="M332" s="135"/>
      <c r="N332" s="130"/>
      <c r="Q332" s="215"/>
      <c r="R332" s="78"/>
      <c r="S332" s="78"/>
      <c r="T332" s="337"/>
      <c r="U332" s="129"/>
      <c r="V332" s="129"/>
      <c r="W332" s="129"/>
      <c r="X332" s="78"/>
      <c r="Y332" s="370"/>
    </row>
    <row r="333" spans="1:25" ht="30" customHeight="1">
      <c r="A333" s="25" t="s">
        <v>91</v>
      </c>
      <c r="B333" s="57">
        <v>4</v>
      </c>
      <c r="C333" s="57">
        <v>4</v>
      </c>
      <c r="D333" s="22"/>
      <c r="E333" s="50"/>
      <c r="F333" s="43"/>
      <c r="G333" s="43"/>
      <c r="H333" s="26"/>
      <c r="I333" s="295"/>
      <c r="J333" s="9"/>
      <c r="M333" s="135"/>
      <c r="N333" s="130"/>
      <c r="Q333" s="215"/>
      <c r="R333" s="78"/>
      <c r="S333" s="78"/>
      <c r="T333" s="337"/>
      <c r="U333" s="129"/>
      <c r="V333" s="129"/>
      <c r="W333" s="129"/>
      <c r="X333" s="78"/>
      <c r="Y333" s="370"/>
    </row>
    <row r="334" spans="1:25" ht="30" customHeight="1">
      <c r="A334" s="102" t="s">
        <v>327</v>
      </c>
      <c r="B334" s="400">
        <v>10</v>
      </c>
      <c r="C334" s="400">
        <v>10</v>
      </c>
      <c r="D334" s="282"/>
      <c r="E334" s="43"/>
      <c r="F334" s="43"/>
      <c r="G334" s="43"/>
      <c r="H334" s="26"/>
      <c r="I334" s="43"/>
      <c r="J334" s="9"/>
      <c r="M334" s="74"/>
      <c r="N334" s="66"/>
      <c r="Q334" s="213"/>
      <c r="R334" s="78"/>
      <c r="S334" s="78"/>
      <c r="T334" s="337"/>
      <c r="U334" s="129"/>
      <c r="V334" s="129"/>
      <c r="W334" s="129"/>
      <c r="X334" s="78"/>
      <c r="Y334" s="370"/>
    </row>
    <row r="335" spans="1:25" s="95" customFormat="1" ht="30" customHeight="1">
      <c r="A335" s="101" t="s">
        <v>44</v>
      </c>
      <c r="B335" s="64">
        <v>2</v>
      </c>
      <c r="C335" s="146">
        <v>2</v>
      </c>
      <c r="D335" s="22"/>
      <c r="E335" s="43"/>
      <c r="F335" s="43"/>
      <c r="G335" s="43"/>
      <c r="H335" s="26"/>
      <c r="I335" s="295"/>
      <c r="J335" s="9"/>
      <c r="M335" s="74"/>
      <c r="N335" s="96"/>
      <c r="O335" s="80"/>
      <c r="P335" s="80"/>
      <c r="Q335" s="215"/>
      <c r="R335" s="78"/>
      <c r="S335" s="78"/>
      <c r="T335" s="337"/>
      <c r="U335" s="129"/>
      <c r="V335" s="129"/>
      <c r="W335" s="129"/>
      <c r="X335" s="78"/>
      <c r="Y335" s="370"/>
    </row>
    <row r="336" spans="1:25" ht="30" customHeight="1">
      <c r="A336" s="705" t="s">
        <v>330</v>
      </c>
      <c r="B336" s="705"/>
      <c r="C336" s="705"/>
      <c r="D336" s="418" t="s">
        <v>331</v>
      </c>
      <c r="E336" s="437"/>
      <c r="F336" s="437"/>
      <c r="G336" s="437"/>
      <c r="H336" s="64"/>
      <c r="I336" s="240"/>
      <c r="J336" s="9"/>
      <c r="M336" s="131"/>
      <c r="N336" s="137"/>
      <c r="Q336" s="215"/>
      <c r="R336" s="78"/>
      <c r="S336" s="78"/>
      <c r="T336" s="337"/>
      <c r="U336" s="129"/>
      <c r="V336" s="129"/>
      <c r="W336" s="129"/>
      <c r="X336" s="78"/>
      <c r="Y336" s="370"/>
    </row>
    <row r="337" spans="1:25" ht="30" customHeight="1">
      <c r="A337" s="674" t="s">
        <v>280</v>
      </c>
      <c r="B337" s="674"/>
      <c r="C337" s="674"/>
      <c r="D337" s="632">
        <v>80</v>
      </c>
      <c r="E337" s="21">
        <v>1.6444444444444444</v>
      </c>
      <c r="F337" s="21">
        <v>2.088888888888889</v>
      </c>
      <c r="G337" s="21">
        <v>6.622222222222222</v>
      </c>
      <c r="H337" s="238">
        <f>E337*4+F337*9+G337*4</f>
        <v>51.86666666666667</v>
      </c>
      <c r="I337" s="295" t="s">
        <v>456</v>
      </c>
      <c r="J337" s="9"/>
      <c r="M337" s="74"/>
      <c r="N337" s="96"/>
      <c r="Q337" s="704"/>
      <c r="R337" s="704"/>
      <c r="S337" s="704"/>
      <c r="T337" s="337"/>
      <c r="U337" s="129"/>
      <c r="V337" s="129"/>
      <c r="W337" s="129"/>
      <c r="X337" s="78"/>
      <c r="Y337" s="370"/>
    </row>
    <row r="338" spans="1:25" ht="30" customHeight="1">
      <c r="A338" s="59" t="s">
        <v>55</v>
      </c>
      <c r="B338" s="45">
        <f>C338*1.25</f>
        <v>115</v>
      </c>
      <c r="C338" s="45">
        <v>92</v>
      </c>
      <c r="D338" s="23"/>
      <c r="E338" s="32"/>
      <c r="F338" s="32"/>
      <c r="G338" s="32"/>
      <c r="H338" s="45"/>
      <c r="I338" s="329"/>
      <c r="J338" s="10"/>
      <c r="M338" s="131"/>
      <c r="N338" s="137"/>
      <c r="Q338" s="213"/>
      <c r="R338" s="216"/>
      <c r="S338" s="216"/>
      <c r="T338" s="337"/>
      <c r="U338" s="129"/>
      <c r="V338" s="129"/>
      <c r="W338" s="633"/>
      <c r="X338" s="66"/>
      <c r="Y338" s="373"/>
    </row>
    <row r="339" spans="1:25" ht="30" customHeight="1">
      <c r="A339" s="53" t="s">
        <v>44</v>
      </c>
      <c r="B339" s="45">
        <v>3</v>
      </c>
      <c r="C339" s="45">
        <v>3</v>
      </c>
      <c r="D339" s="23"/>
      <c r="E339" s="32"/>
      <c r="F339" s="32"/>
      <c r="G339" s="32"/>
      <c r="H339" s="45"/>
      <c r="I339" s="383"/>
      <c r="J339" s="10"/>
      <c r="M339" s="131"/>
      <c r="N339" s="137"/>
      <c r="Q339" s="136"/>
      <c r="R339" s="186"/>
      <c r="S339" s="75"/>
      <c r="T339" s="216"/>
      <c r="U339" s="216"/>
      <c r="V339" s="216"/>
      <c r="W339" s="216"/>
      <c r="X339" s="216"/>
      <c r="Y339" s="373"/>
    </row>
    <row r="340" spans="1:25" ht="30" customHeight="1">
      <c r="A340" s="53" t="s">
        <v>112</v>
      </c>
      <c r="B340" s="32">
        <f>C340*1.25</f>
        <v>6.25</v>
      </c>
      <c r="C340" s="23">
        <v>5</v>
      </c>
      <c r="D340" s="23"/>
      <c r="E340" s="32"/>
      <c r="F340" s="32"/>
      <c r="G340" s="32"/>
      <c r="H340" s="45"/>
      <c r="I340" s="327"/>
      <c r="J340" s="10"/>
      <c r="M340" s="131"/>
      <c r="N340" s="137"/>
      <c r="O340" s="95"/>
      <c r="P340" s="95"/>
      <c r="Q340" s="689"/>
      <c r="R340" s="689"/>
      <c r="S340" s="689"/>
      <c r="T340" s="689"/>
      <c r="U340" s="689"/>
      <c r="V340" s="689"/>
      <c r="W340" s="689"/>
      <c r="X340" s="689"/>
      <c r="Y340" s="374"/>
    </row>
    <row r="341" spans="1:25" ht="30" customHeight="1">
      <c r="A341" s="59" t="s">
        <v>43</v>
      </c>
      <c r="B341" s="32">
        <f>C341*1.33</f>
        <v>6.65</v>
      </c>
      <c r="C341" s="23">
        <v>5</v>
      </c>
      <c r="D341" s="23"/>
      <c r="E341" s="32"/>
      <c r="F341" s="21"/>
      <c r="G341" s="21"/>
      <c r="H341" s="238"/>
      <c r="I341" s="330"/>
      <c r="J341" s="10"/>
      <c r="M341" s="74"/>
      <c r="N341" s="96"/>
      <c r="Q341" s="680"/>
      <c r="R341" s="680"/>
      <c r="S341" s="680"/>
      <c r="T341" s="334"/>
      <c r="U341" s="335"/>
      <c r="V341" s="335"/>
      <c r="W341" s="335"/>
      <c r="X341" s="375"/>
      <c r="Y341" s="336"/>
    </row>
    <row r="342" spans="1:25" ht="30" customHeight="1">
      <c r="A342" s="53" t="s">
        <v>51</v>
      </c>
      <c r="B342" s="45">
        <f>C342*1.19</f>
        <v>4.76</v>
      </c>
      <c r="C342" s="23">
        <v>4</v>
      </c>
      <c r="D342" s="23"/>
      <c r="E342" s="32"/>
      <c r="F342" s="21"/>
      <c r="G342" s="21"/>
      <c r="H342" s="238"/>
      <c r="I342" s="384"/>
      <c r="J342" s="16"/>
      <c r="M342" s="131"/>
      <c r="N342" s="137"/>
      <c r="Q342" s="347"/>
      <c r="R342" s="77"/>
      <c r="S342" s="337"/>
      <c r="T342" s="337"/>
      <c r="U342" s="187"/>
      <c r="V342" s="187"/>
      <c r="W342" s="187"/>
      <c r="X342" s="187"/>
      <c r="Y342" s="336"/>
    </row>
    <row r="343" spans="1:25" ht="30" customHeight="1">
      <c r="A343" s="89" t="s">
        <v>83</v>
      </c>
      <c r="B343" s="23">
        <v>1.5</v>
      </c>
      <c r="C343" s="23">
        <v>1.5</v>
      </c>
      <c r="D343" s="23"/>
      <c r="E343" s="32"/>
      <c r="F343" s="21"/>
      <c r="G343" s="21"/>
      <c r="H343" s="238"/>
      <c r="I343" s="327"/>
      <c r="J343" s="16"/>
      <c r="M343" s="74"/>
      <c r="N343" s="96"/>
      <c r="Q343" s="139"/>
      <c r="R343" s="78"/>
      <c r="S343" s="337"/>
      <c r="T343" s="339"/>
      <c r="U343" s="339"/>
      <c r="V343" s="339"/>
      <c r="W343" s="339"/>
      <c r="X343" s="339"/>
      <c r="Y343" s="338"/>
    </row>
    <row r="344" spans="1:25" ht="30" customHeight="1">
      <c r="A344" s="53" t="s">
        <v>54</v>
      </c>
      <c r="B344" s="32">
        <v>1.3</v>
      </c>
      <c r="C344" s="32">
        <v>1.3</v>
      </c>
      <c r="D344" s="23"/>
      <c r="E344" s="32"/>
      <c r="F344" s="21"/>
      <c r="G344" s="21"/>
      <c r="H344" s="238"/>
      <c r="I344" s="327"/>
      <c r="J344" s="9"/>
      <c r="M344" s="74"/>
      <c r="N344" s="96"/>
      <c r="Q344" s="347"/>
      <c r="R344" s="77"/>
      <c r="S344" s="337"/>
      <c r="T344" s="337"/>
      <c r="U344" s="187"/>
      <c r="V344" s="187"/>
      <c r="W344" s="187"/>
      <c r="X344" s="77"/>
      <c r="Y344" s="376"/>
    </row>
    <row r="345" spans="1:25" ht="30" customHeight="1">
      <c r="A345" s="53" t="s">
        <v>39</v>
      </c>
      <c r="B345" s="23">
        <v>1.5</v>
      </c>
      <c r="C345" s="23">
        <v>1.5</v>
      </c>
      <c r="D345" s="23"/>
      <c r="E345" s="32"/>
      <c r="F345" s="21"/>
      <c r="G345" s="21"/>
      <c r="H345" s="238"/>
      <c r="I345" s="321"/>
      <c r="J345" s="10"/>
      <c r="M345" s="129"/>
      <c r="N345" s="66"/>
      <c r="Q345" s="347"/>
      <c r="R345" s="77"/>
      <c r="S345" s="337"/>
      <c r="T345" s="337"/>
      <c r="U345" s="187"/>
      <c r="V345" s="187"/>
      <c r="W345" s="187"/>
      <c r="X345" s="77"/>
      <c r="Y345" s="376"/>
    </row>
    <row r="346" spans="1:25" ht="30" customHeight="1">
      <c r="A346" s="677" t="s">
        <v>230</v>
      </c>
      <c r="B346" s="677"/>
      <c r="C346" s="677"/>
      <c r="D346" s="224">
        <v>100</v>
      </c>
      <c r="E346" s="63">
        <v>2</v>
      </c>
      <c r="F346" s="63">
        <v>2.9</v>
      </c>
      <c r="G346" s="63">
        <v>13.3</v>
      </c>
      <c r="H346" s="105">
        <f>E346*4+F346*9+G346*4</f>
        <v>87.3</v>
      </c>
      <c r="I346" s="310" t="s">
        <v>231</v>
      </c>
      <c r="J346" s="10"/>
      <c r="M346" s="74"/>
      <c r="N346" s="96"/>
      <c r="Q346" s="139"/>
      <c r="R346" s="78"/>
      <c r="S346" s="216"/>
      <c r="T346" s="337"/>
      <c r="U346" s="187"/>
      <c r="V346" s="187"/>
      <c r="W346" s="187"/>
      <c r="X346" s="77"/>
      <c r="Y346" s="376"/>
    </row>
    <row r="347" spans="1:25" ht="30" customHeight="1">
      <c r="A347" s="389" t="s">
        <v>47</v>
      </c>
      <c r="B347" s="133">
        <f>C347*1.33</f>
        <v>113.05000000000001</v>
      </c>
      <c r="C347" s="133">
        <v>85</v>
      </c>
      <c r="D347" s="219"/>
      <c r="E347" s="226"/>
      <c r="F347" s="226"/>
      <c r="G347" s="226"/>
      <c r="H347" s="133"/>
      <c r="I347" s="307"/>
      <c r="J347" s="10"/>
      <c r="M347" s="76"/>
      <c r="N347" s="96"/>
      <c r="Q347" s="347"/>
      <c r="R347" s="186"/>
      <c r="S347" s="75"/>
      <c r="T347" s="337"/>
      <c r="U347" s="187"/>
      <c r="V347" s="187"/>
      <c r="W347" s="187"/>
      <c r="X347" s="337"/>
      <c r="Y347" s="338"/>
    </row>
    <row r="348" spans="1:21" s="83" customFormat="1" ht="30" customHeight="1">
      <c r="A348" s="389" t="s">
        <v>48</v>
      </c>
      <c r="B348" s="133">
        <f>C348*1.43</f>
        <v>121.55</v>
      </c>
      <c r="C348" s="133">
        <v>85</v>
      </c>
      <c r="D348" s="219"/>
      <c r="E348" s="226"/>
      <c r="F348" s="226"/>
      <c r="G348" s="226"/>
      <c r="H348" s="133"/>
      <c r="I348" s="307"/>
      <c r="J348" s="10"/>
      <c r="M348" s="75"/>
      <c r="N348" s="99"/>
      <c r="O348" s="80"/>
      <c r="P348" s="80"/>
      <c r="Q348" s="80"/>
      <c r="R348" s="80"/>
      <c r="S348" s="80"/>
      <c r="T348" s="80"/>
      <c r="U348" s="80"/>
    </row>
    <row r="349" spans="1:10" ht="30" customHeight="1">
      <c r="A349" s="389" t="s">
        <v>49</v>
      </c>
      <c r="B349" s="133">
        <f>C349*1.54</f>
        <v>130.9</v>
      </c>
      <c r="C349" s="133">
        <v>85</v>
      </c>
      <c r="D349" s="219"/>
      <c r="E349" s="226"/>
      <c r="F349" s="226"/>
      <c r="G349" s="226"/>
      <c r="H349" s="133"/>
      <c r="I349" s="307"/>
      <c r="J349" s="10"/>
    </row>
    <row r="350" spans="1:10" ht="30" customHeight="1">
      <c r="A350" s="389" t="s">
        <v>50</v>
      </c>
      <c r="B350" s="133">
        <f>C350*1.67</f>
        <v>141.95</v>
      </c>
      <c r="C350" s="133">
        <v>85</v>
      </c>
      <c r="D350" s="219"/>
      <c r="E350" s="226"/>
      <c r="F350" s="226"/>
      <c r="G350" s="226"/>
      <c r="H350" s="133"/>
      <c r="I350" s="307"/>
      <c r="J350" s="10"/>
    </row>
    <row r="351" spans="1:10" ht="30" customHeight="1">
      <c r="A351" s="389" t="s">
        <v>63</v>
      </c>
      <c r="B351" s="401">
        <v>16</v>
      </c>
      <c r="C351" s="401">
        <v>16</v>
      </c>
      <c r="D351" s="219"/>
      <c r="E351" s="226"/>
      <c r="F351" s="226"/>
      <c r="G351" s="226"/>
      <c r="H351" s="133"/>
      <c r="I351" s="307"/>
      <c r="J351" s="10"/>
    </row>
    <row r="352" spans="1:10" ht="30" customHeight="1">
      <c r="A352" s="438" t="s">
        <v>70</v>
      </c>
      <c r="B352" s="439">
        <v>3</v>
      </c>
      <c r="C352" s="439">
        <v>3</v>
      </c>
      <c r="D352" s="226"/>
      <c r="E352" s="226"/>
      <c r="F352" s="226"/>
      <c r="G352" s="226"/>
      <c r="H352" s="133"/>
      <c r="I352" s="307"/>
      <c r="J352" s="10"/>
    </row>
    <row r="353" spans="1:21" ht="30" customHeight="1">
      <c r="A353" s="674" t="s">
        <v>247</v>
      </c>
      <c r="B353" s="674"/>
      <c r="C353" s="674"/>
      <c r="D353" s="632">
        <v>200</v>
      </c>
      <c r="E353" s="21">
        <v>0.2</v>
      </c>
      <c r="F353" s="21">
        <v>0</v>
      </c>
      <c r="G353" s="21">
        <v>20.6</v>
      </c>
      <c r="H353" s="537">
        <f>G353*4+F353*9+E353*4</f>
        <v>83.2</v>
      </c>
      <c r="I353" s="302" t="s">
        <v>248</v>
      </c>
      <c r="J353" s="10"/>
      <c r="M353" s="83"/>
      <c r="O353" s="83"/>
      <c r="P353" s="83"/>
      <c r="Q353" s="83"/>
      <c r="R353" s="83"/>
      <c r="S353" s="83"/>
      <c r="T353" s="83"/>
      <c r="U353" s="83"/>
    </row>
    <row r="354" spans="1:10" ht="30" customHeight="1">
      <c r="A354" s="89" t="s">
        <v>81</v>
      </c>
      <c r="B354" s="61">
        <f>C354*1.14</f>
        <v>45.599999999999994</v>
      </c>
      <c r="C354" s="61">
        <v>40</v>
      </c>
      <c r="D354" s="1"/>
      <c r="E354" s="2"/>
      <c r="F354" s="2"/>
      <c r="G354" s="2"/>
      <c r="H354" s="3"/>
      <c r="I354" s="304"/>
      <c r="J354" s="10"/>
    </row>
    <row r="355" spans="1:10" ht="30" customHeight="1">
      <c r="A355" s="389" t="s">
        <v>211</v>
      </c>
      <c r="B355" s="133">
        <v>44.44444444444444</v>
      </c>
      <c r="C355" s="219">
        <v>40</v>
      </c>
      <c r="D355" s="1"/>
      <c r="E355" s="2"/>
      <c r="F355" s="2"/>
      <c r="G355" s="2"/>
      <c r="H355" s="3"/>
      <c r="I355" s="304"/>
      <c r="J355" s="10"/>
    </row>
    <row r="356" spans="1:10" ht="30" customHeight="1">
      <c r="A356" s="389" t="s">
        <v>212</v>
      </c>
      <c r="B356" s="133">
        <v>60</v>
      </c>
      <c r="C356" s="219">
        <v>40</v>
      </c>
      <c r="D356" s="22"/>
      <c r="E356" s="22"/>
      <c r="F356" s="22"/>
      <c r="G356" s="22"/>
      <c r="H356" s="26"/>
      <c r="I356" s="295"/>
      <c r="J356" s="10"/>
    </row>
    <row r="357" spans="1:10" ht="30" customHeight="1">
      <c r="A357" s="389" t="s">
        <v>144</v>
      </c>
      <c r="B357" s="226">
        <v>0.2</v>
      </c>
      <c r="C357" s="226">
        <v>0.2</v>
      </c>
      <c r="D357" s="22"/>
      <c r="E357" s="22"/>
      <c r="F357" s="22"/>
      <c r="G357" s="22"/>
      <c r="H357" s="26"/>
      <c r="I357" s="295"/>
      <c r="J357" s="9"/>
    </row>
    <row r="358" spans="1:21" s="83" customFormat="1" ht="30" customHeight="1">
      <c r="A358" s="106" t="s">
        <v>39</v>
      </c>
      <c r="B358" s="58">
        <v>15</v>
      </c>
      <c r="C358" s="58">
        <v>15</v>
      </c>
      <c r="D358" s="58"/>
      <c r="E358" s="38"/>
      <c r="F358" s="38"/>
      <c r="G358" s="38"/>
      <c r="H358" s="57"/>
      <c r="I358" s="306"/>
      <c r="J358" s="9"/>
      <c r="M358" s="80"/>
      <c r="N358" s="80"/>
      <c r="O358" s="80"/>
      <c r="P358" s="80"/>
      <c r="Q358" s="80"/>
      <c r="R358" s="80"/>
      <c r="S358" s="80"/>
      <c r="T358" s="80"/>
      <c r="U358" s="80"/>
    </row>
    <row r="359" spans="1:21" s="83" customFormat="1" ht="30" customHeight="1">
      <c r="A359" s="674" t="s">
        <v>34</v>
      </c>
      <c r="B359" s="674"/>
      <c r="C359" s="674"/>
      <c r="D359" s="1">
        <v>40</v>
      </c>
      <c r="E359" s="2">
        <v>1.88</v>
      </c>
      <c r="F359" s="2">
        <v>0.4</v>
      </c>
      <c r="G359" s="2">
        <v>17.48</v>
      </c>
      <c r="H359" s="3">
        <v>81.04</v>
      </c>
      <c r="I359" s="294"/>
      <c r="J359" s="9"/>
      <c r="M359" s="80"/>
      <c r="N359" s="80"/>
      <c r="O359" s="80"/>
      <c r="P359" s="80"/>
      <c r="Q359" s="80"/>
      <c r="R359" s="80"/>
      <c r="S359" s="80"/>
      <c r="T359" s="80"/>
      <c r="U359" s="80"/>
    </row>
    <row r="360" spans="1:10" ht="30" customHeight="1">
      <c r="A360" s="675" t="s">
        <v>145</v>
      </c>
      <c r="B360" s="675"/>
      <c r="C360" s="675"/>
      <c r="D360" s="1">
        <v>40</v>
      </c>
      <c r="E360" s="2"/>
      <c r="F360" s="2"/>
      <c r="G360" s="2"/>
      <c r="H360" s="3"/>
      <c r="I360" s="294"/>
      <c r="J360" s="9"/>
    </row>
    <row r="361" spans="1:10" ht="30" customHeight="1">
      <c r="A361" s="674" t="s">
        <v>74</v>
      </c>
      <c r="B361" s="674"/>
      <c r="C361" s="674"/>
      <c r="D361" s="3">
        <v>60</v>
      </c>
      <c r="E361" s="2">
        <v>3</v>
      </c>
      <c r="F361" s="2">
        <v>0.8400000000000001</v>
      </c>
      <c r="G361" s="2">
        <v>24.299999999999997</v>
      </c>
      <c r="H361" s="3">
        <v>116.76</v>
      </c>
      <c r="I361" s="294"/>
      <c r="J361" s="9"/>
    </row>
    <row r="362" spans="1:10" ht="30" customHeight="1">
      <c r="A362" s="675" t="s">
        <v>72</v>
      </c>
      <c r="B362" s="675"/>
      <c r="C362" s="675"/>
      <c r="D362" s="1">
        <v>60</v>
      </c>
      <c r="E362" s="2"/>
      <c r="F362" s="2"/>
      <c r="G362" s="2"/>
      <c r="H362" s="3"/>
      <c r="I362" s="294"/>
      <c r="J362" s="9"/>
    </row>
    <row r="363" spans="1:21" ht="30" customHeight="1">
      <c r="A363" s="698" t="s">
        <v>202</v>
      </c>
      <c r="B363" s="698"/>
      <c r="C363" s="698"/>
      <c r="D363" s="266"/>
      <c r="E363" s="235">
        <f>E258+E278</f>
        <v>57.16444444444444</v>
      </c>
      <c r="F363" s="235">
        <f>F258+F278</f>
        <v>66.92888888888888</v>
      </c>
      <c r="G363" s="235">
        <f>G258+G278</f>
        <v>160.94222222222223</v>
      </c>
      <c r="H363" s="267">
        <f>H258+H278</f>
        <v>1474.7866666666666</v>
      </c>
      <c r="I363" s="302"/>
      <c r="J363" s="9"/>
      <c r="M363" s="83"/>
      <c r="O363" s="83"/>
      <c r="P363" s="83"/>
      <c r="Q363" s="83"/>
      <c r="R363" s="83"/>
      <c r="S363" s="83"/>
      <c r="T363" s="83"/>
      <c r="U363" s="83"/>
    </row>
    <row r="364" spans="1:21" ht="30" customHeight="1">
      <c r="A364" s="707" t="s">
        <v>14</v>
      </c>
      <c r="B364" s="707"/>
      <c r="C364" s="707"/>
      <c r="D364" s="707"/>
      <c r="E364" s="707"/>
      <c r="F364" s="707"/>
      <c r="G364" s="707"/>
      <c r="H364" s="707"/>
      <c r="I364" s="707"/>
      <c r="J364" s="9"/>
      <c r="O364" s="83"/>
      <c r="P364" s="83"/>
      <c r="Q364" s="83"/>
      <c r="R364" s="83"/>
      <c r="S364" s="83"/>
      <c r="T364" s="83"/>
      <c r="U364" s="83"/>
    </row>
    <row r="365" spans="1:10" ht="30" customHeight="1">
      <c r="A365" s="693" t="s">
        <v>1</v>
      </c>
      <c r="B365" s="676" t="s">
        <v>2</v>
      </c>
      <c r="C365" s="676" t="s">
        <v>3</v>
      </c>
      <c r="D365" s="676" t="s">
        <v>4</v>
      </c>
      <c r="E365" s="676"/>
      <c r="F365" s="676"/>
      <c r="G365" s="676"/>
      <c r="H365" s="676"/>
      <c r="I365" s="682" t="s">
        <v>201</v>
      </c>
      <c r="J365" s="9"/>
    </row>
    <row r="366" spans="1:10" ht="30" customHeight="1">
      <c r="A366" s="693"/>
      <c r="B366" s="676"/>
      <c r="C366" s="676"/>
      <c r="D366" s="6" t="s">
        <v>5</v>
      </c>
      <c r="E366" s="62" t="s">
        <v>6</v>
      </c>
      <c r="F366" s="62" t="s">
        <v>7</v>
      </c>
      <c r="G366" s="62" t="s">
        <v>8</v>
      </c>
      <c r="H366" s="69" t="s">
        <v>9</v>
      </c>
      <c r="I366" s="682"/>
      <c r="J366" s="9"/>
    </row>
    <row r="367" spans="1:10" ht="30" customHeight="1">
      <c r="A367" s="690" t="s">
        <v>10</v>
      </c>
      <c r="B367" s="690"/>
      <c r="C367" s="690"/>
      <c r="D367" s="265">
        <f>D368+D383+207+D390</f>
        <v>607</v>
      </c>
      <c r="E367" s="71">
        <f>E368+E386+E390+E391+E393+E383</f>
        <v>14.92</v>
      </c>
      <c r="F367" s="71">
        <f>F368+F386+F390+F391+F393+F383</f>
        <v>17.200000000000003</v>
      </c>
      <c r="G367" s="71">
        <f>G368+G386+G390+G391+G393+G383</f>
        <v>88.96000000000001</v>
      </c>
      <c r="H367" s="265">
        <f>H368+H386+H390+H391+H393+H383</f>
        <v>569.54</v>
      </c>
      <c r="I367" s="293"/>
      <c r="J367" s="9"/>
    </row>
    <row r="368" spans="1:10" ht="30" customHeight="1">
      <c r="A368" s="675" t="s">
        <v>513</v>
      </c>
      <c r="B368" s="675"/>
      <c r="C368" s="675"/>
      <c r="D368" s="1">
        <v>250</v>
      </c>
      <c r="E368" s="21">
        <v>12.1</v>
      </c>
      <c r="F368" s="2">
        <v>16.3</v>
      </c>
      <c r="G368" s="2">
        <v>27.5</v>
      </c>
      <c r="H368" s="3">
        <f>E368*4+F368*9+G368*4</f>
        <v>305.1</v>
      </c>
      <c r="I368" s="294" t="s">
        <v>511</v>
      </c>
      <c r="J368" s="9"/>
    </row>
    <row r="369" spans="1:10" ht="30" customHeight="1">
      <c r="A369" s="132" t="s">
        <v>328</v>
      </c>
      <c r="B369" s="37">
        <f>C369*1.17</f>
        <v>86.58</v>
      </c>
      <c r="C369" s="57">
        <v>74</v>
      </c>
      <c r="D369" s="1"/>
      <c r="E369" s="2"/>
      <c r="F369" s="2"/>
      <c r="G369" s="2"/>
      <c r="H369" s="3"/>
      <c r="I369" s="294"/>
      <c r="J369" s="9"/>
    </row>
    <row r="370" spans="1:10" ht="30" customHeight="1">
      <c r="A370" s="132" t="s">
        <v>514</v>
      </c>
      <c r="B370" s="37">
        <f>C370*1.36</f>
        <v>107.44000000000001</v>
      </c>
      <c r="C370" s="57">
        <v>79</v>
      </c>
      <c r="D370" s="22"/>
      <c r="E370" s="43"/>
      <c r="F370" s="43"/>
      <c r="G370" s="43"/>
      <c r="H370" s="26"/>
      <c r="I370" s="43"/>
      <c r="J370" s="112"/>
    </row>
    <row r="371" spans="1:10" ht="30" customHeight="1">
      <c r="A371" s="132" t="s">
        <v>46</v>
      </c>
      <c r="B371" s="37">
        <f>C371*1.18</f>
        <v>93.22</v>
      </c>
      <c r="C371" s="57">
        <v>79</v>
      </c>
      <c r="D371" s="22"/>
      <c r="E371" s="43"/>
      <c r="F371" s="43"/>
      <c r="G371" s="43"/>
      <c r="H371" s="26"/>
      <c r="I371" s="295"/>
      <c r="J371" s="9"/>
    </row>
    <row r="372" spans="1:10" ht="30" customHeight="1">
      <c r="A372" s="147" t="s">
        <v>44</v>
      </c>
      <c r="B372" s="64">
        <v>12</v>
      </c>
      <c r="C372" s="23">
        <v>12</v>
      </c>
      <c r="D372" s="282"/>
      <c r="E372" s="287"/>
      <c r="F372" s="23"/>
      <c r="G372" s="23"/>
      <c r="H372" s="45"/>
      <c r="I372" s="288"/>
      <c r="J372" s="9"/>
    </row>
    <row r="373" spans="1:10" ht="30" customHeight="1">
      <c r="A373" s="53" t="s">
        <v>92</v>
      </c>
      <c r="B373" s="45"/>
      <c r="C373" s="45">
        <v>50</v>
      </c>
      <c r="D373" s="282"/>
      <c r="E373" s="353"/>
      <c r="F373" s="282"/>
      <c r="G373" s="282"/>
      <c r="H373" s="454"/>
      <c r="I373" s="292"/>
      <c r="J373" s="9"/>
    </row>
    <row r="374" spans="1:10" ht="30" customHeight="1">
      <c r="A374" s="53" t="s">
        <v>512</v>
      </c>
      <c r="B374" s="45"/>
      <c r="C374" s="45">
        <v>200</v>
      </c>
      <c r="D374" s="282"/>
      <c r="E374" s="353"/>
      <c r="F374" s="282"/>
      <c r="G374" s="282"/>
      <c r="H374" s="454"/>
      <c r="I374" s="292"/>
      <c r="J374" s="9"/>
    </row>
    <row r="375" spans="1:10" ht="30" customHeight="1">
      <c r="A375" s="89" t="s">
        <v>83</v>
      </c>
      <c r="B375" s="45">
        <v>12</v>
      </c>
      <c r="C375" s="45">
        <v>12</v>
      </c>
      <c r="D375" s="26"/>
      <c r="E375" s="43"/>
      <c r="F375" s="43"/>
      <c r="G375" s="43"/>
      <c r="H375" s="26"/>
      <c r="I375" s="43"/>
      <c r="J375" s="9"/>
    </row>
    <row r="376" spans="1:21" s="83" customFormat="1" ht="30" customHeight="1">
      <c r="A376" s="53" t="s">
        <v>51</v>
      </c>
      <c r="B376" s="45">
        <f>C376*1.19</f>
        <v>23.799999999999997</v>
      </c>
      <c r="C376" s="45">
        <v>20</v>
      </c>
      <c r="D376" s="26"/>
      <c r="E376" s="43"/>
      <c r="F376" s="43"/>
      <c r="G376" s="43"/>
      <c r="H376" s="26"/>
      <c r="I376" s="43"/>
      <c r="J376" s="9"/>
      <c r="M376" s="80"/>
      <c r="N376" s="80"/>
      <c r="O376" s="80"/>
      <c r="P376" s="80"/>
      <c r="Q376" s="80"/>
      <c r="R376" s="80"/>
      <c r="S376" s="80"/>
      <c r="T376" s="80"/>
      <c r="U376" s="80"/>
    </row>
    <row r="377" spans="1:10" ht="30" customHeight="1">
      <c r="A377" s="53" t="s">
        <v>54</v>
      </c>
      <c r="B377" s="45">
        <v>4</v>
      </c>
      <c r="C377" s="45">
        <v>4</v>
      </c>
      <c r="D377" s="26"/>
      <c r="E377" s="43"/>
      <c r="F377" s="43"/>
      <c r="G377" s="43"/>
      <c r="H377" s="26"/>
      <c r="I377" s="43"/>
      <c r="J377" s="9"/>
    </row>
    <row r="378" spans="1:10" ht="30" customHeight="1">
      <c r="A378" s="53" t="s">
        <v>443</v>
      </c>
      <c r="B378" s="45">
        <f>C378*1.82</f>
        <v>43.68</v>
      </c>
      <c r="C378" s="45">
        <v>24</v>
      </c>
      <c r="D378" s="26"/>
      <c r="E378" s="43"/>
      <c r="F378" s="43"/>
      <c r="G378" s="43"/>
      <c r="H378" s="26"/>
      <c r="I378" s="43"/>
      <c r="J378" s="9"/>
    </row>
    <row r="379" spans="1:10" ht="30" customHeight="1">
      <c r="A379" s="53" t="s">
        <v>47</v>
      </c>
      <c r="B379" s="45">
        <f>C379*1.33</f>
        <v>212.8</v>
      </c>
      <c r="C379" s="45">
        <v>160</v>
      </c>
      <c r="D379" s="26"/>
      <c r="E379" s="43"/>
      <c r="F379" s="43"/>
      <c r="G379" s="43"/>
      <c r="H379" s="26"/>
      <c r="I379" s="43"/>
      <c r="J379" s="9"/>
    </row>
    <row r="380" spans="1:10" ht="30" customHeight="1">
      <c r="A380" s="115" t="s">
        <v>48</v>
      </c>
      <c r="B380" s="24">
        <f>C380*1.43</f>
        <v>228.79999999999998</v>
      </c>
      <c r="C380" s="45">
        <v>160</v>
      </c>
      <c r="D380" s="26"/>
      <c r="E380" s="43"/>
      <c r="F380" s="43"/>
      <c r="G380" s="43"/>
      <c r="H380" s="26"/>
      <c r="I380" s="43"/>
      <c r="J380" s="9"/>
    </row>
    <row r="381" spans="1:21" ht="30" customHeight="1">
      <c r="A381" s="20" t="s">
        <v>49</v>
      </c>
      <c r="B381" s="24">
        <f>C381*1.54</f>
        <v>246.4</v>
      </c>
      <c r="C381" s="45">
        <v>160</v>
      </c>
      <c r="D381" s="26"/>
      <c r="E381" s="43"/>
      <c r="F381" s="43"/>
      <c r="G381" s="43"/>
      <c r="H381" s="26"/>
      <c r="I381" s="43"/>
      <c r="J381" s="9"/>
      <c r="O381" s="83"/>
      <c r="P381" s="83"/>
      <c r="Q381" s="83"/>
      <c r="R381" s="83"/>
      <c r="S381" s="83"/>
      <c r="T381" s="83"/>
      <c r="U381" s="83"/>
    </row>
    <row r="382" spans="1:10" ht="30" customHeight="1">
      <c r="A382" s="20" t="s">
        <v>50</v>
      </c>
      <c r="B382" s="24">
        <f>C382*1.67</f>
        <v>267.2</v>
      </c>
      <c r="C382" s="45">
        <v>160</v>
      </c>
      <c r="D382" s="26"/>
      <c r="E382" s="43"/>
      <c r="F382" s="43"/>
      <c r="G382" s="43"/>
      <c r="H382" s="26"/>
      <c r="I382" s="43"/>
      <c r="J382" s="9"/>
    </row>
    <row r="383" spans="1:10" ht="30" customHeight="1">
      <c r="A383" s="671" t="s">
        <v>431</v>
      </c>
      <c r="B383" s="671"/>
      <c r="C383" s="671"/>
      <c r="D383" s="1">
        <v>20</v>
      </c>
      <c r="E383" s="2">
        <v>0.22000000000000003</v>
      </c>
      <c r="F383" s="2">
        <v>0.02</v>
      </c>
      <c r="G383" s="2">
        <v>0.76</v>
      </c>
      <c r="H383" s="3">
        <f>E383*4+F383*9+G383*4</f>
        <v>4.1</v>
      </c>
      <c r="I383" s="294" t="s">
        <v>221</v>
      </c>
      <c r="J383" s="9"/>
    </row>
    <row r="384" spans="1:10" ht="30" customHeight="1">
      <c r="A384" s="59" t="s">
        <v>139</v>
      </c>
      <c r="B384" s="45">
        <f>C384*1.18</f>
        <v>23.599999999999998</v>
      </c>
      <c r="C384" s="23">
        <v>20</v>
      </c>
      <c r="D384" s="22"/>
      <c r="E384" s="22"/>
      <c r="F384" s="22"/>
      <c r="G384" s="22"/>
      <c r="H384" s="26"/>
      <c r="I384" s="295"/>
      <c r="J384" s="9"/>
    </row>
    <row r="385" spans="1:10" ht="30" customHeight="1">
      <c r="A385" s="59" t="s">
        <v>140</v>
      </c>
      <c r="B385" s="32">
        <f>C385*1.02</f>
        <v>20.4</v>
      </c>
      <c r="C385" s="23">
        <v>20</v>
      </c>
      <c r="D385" s="221"/>
      <c r="E385" s="221"/>
      <c r="F385" s="221"/>
      <c r="G385" s="221"/>
      <c r="H385" s="534"/>
      <c r="I385" s="295"/>
      <c r="J385" s="110"/>
    </row>
    <row r="386" spans="1:10" ht="30" customHeight="1">
      <c r="A386" s="410" t="s">
        <v>371</v>
      </c>
      <c r="B386" s="410"/>
      <c r="C386" s="410"/>
      <c r="D386" s="244" t="s">
        <v>348</v>
      </c>
      <c r="E386" s="277">
        <v>0.3</v>
      </c>
      <c r="F386" s="277">
        <v>0</v>
      </c>
      <c r="G386" s="277">
        <v>15.2</v>
      </c>
      <c r="H386" s="3">
        <f>G386*4+F386*9+E386*4</f>
        <v>62</v>
      </c>
      <c r="I386" s="294" t="s">
        <v>372</v>
      </c>
      <c r="J386" s="39"/>
    </row>
    <row r="387" spans="1:11" ht="30" customHeight="1">
      <c r="A387" s="102" t="s">
        <v>113</v>
      </c>
      <c r="B387" s="57">
        <v>2</v>
      </c>
      <c r="C387" s="57">
        <v>2</v>
      </c>
      <c r="D387" s="22"/>
      <c r="E387" s="43"/>
      <c r="F387" s="43"/>
      <c r="G387" s="2"/>
      <c r="H387" s="3"/>
      <c r="I387" s="408"/>
      <c r="J387" s="36"/>
      <c r="K387" s="80" t="s">
        <v>14</v>
      </c>
    </row>
    <row r="388" spans="1:12" ht="30" customHeight="1">
      <c r="A388" s="20" t="s">
        <v>39</v>
      </c>
      <c r="B388" s="58">
        <v>15</v>
      </c>
      <c r="C388" s="58">
        <v>15</v>
      </c>
      <c r="D388" s="58"/>
      <c r="E388" s="38"/>
      <c r="F388" s="38"/>
      <c r="G388" s="38"/>
      <c r="H388" s="57"/>
      <c r="I388" s="38"/>
      <c r="J388" s="39"/>
      <c r="K388" s="27" t="s">
        <v>34</v>
      </c>
      <c r="L388" s="80">
        <f>D444+D391</f>
        <v>60</v>
      </c>
    </row>
    <row r="389" spans="1:12" ht="30" customHeight="1">
      <c r="A389" s="20" t="s">
        <v>41</v>
      </c>
      <c r="B389" s="22">
        <v>8</v>
      </c>
      <c r="C389" s="22">
        <v>7</v>
      </c>
      <c r="D389" s="22"/>
      <c r="E389" s="43"/>
      <c r="F389" s="43"/>
      <c r="G389" s="2"/>
      <c r="H389" s="3"/>
      <c r="I389" s="409"/>
      <c r="J389" s="39"/>
      <c r="K389" s="28" t="s">
        <v>35</v>
      </c>
      <c r="L389" s="82">
        <f>D393++D446</f>
        <v>60</v>
      </c>
    </row>
    <row r="390" spans="1:12" ht="30.75" customHeight="1">
      <c r="A390" s="683" t="s">
        <v>239</v>
      </c>
      <c r="B390" s="683"/>
      <c r="C390" s="683"/>
      <c r="D390" s="4">
        <v>130</v>
      </c>
      <c r="E390" s="222">
        <v>0.6</v>
      </c>
      <c r="F390" s="222">
        <v>0.5</v>
      </c>
      <c r="G390" s="222">
        <v>28</v>
      </c>
      <c r="H390" s="3">
        <f>G390*4+F390*9+E390*4</f>
        <v>118.9</v>
      </c>
      <c r="I390" s="294" t="s">
        <v>224</v>
      </c>
      <c r="J390" s="111"/>
      <c r="K390" s="28" t="s">
        <v>65</v>
      </c>
      <c r="L390" s="82">
        <f>B377</f>
        <v>4</v>
      </c>
    </row>
    <row r="391" spans="1:12" ht="30.75" customHeight="1">
      <c r="A391" s="674" t="s">
        <v>34</v>
      </c>
      <c r="B391" s="674"/>
      <c r="C391" s="674"/>
      <c r="D391" s="1">
        <v>20</v>
      </c>
      <c r="E391" s="2">
        <v>0.7</v>
      </c>
      <c r="F391" s="2">
        <v>0.1</v>
      </c>
      <c r="G391" s="2">
        <v>9.4</v>
      </c>
      <c r="H391" s="3">
        <v>40.52</v>
      </c>
      <c r="I391" s="294"/>
      <c r="J391" s="9"/>
      <c r="K391" s="29" t="s">
        <v>66</v>
      </c>
      <c r="L391" s="82">
        <f>+C431</f>
        <v>63</v>
      </c>
    </row>
    <row r="392" spans="1:11" ht="30.75" customHeight="1">
      <c r="A392" s="675" t="s">
        <v>145</v>
      </c>
      <c r="B392" s="675"/>
      <c r="C392" s="675"/>
      <c r="D392" s="1">
        <v>20</v>
      </c>
      <c r="E392" s="2"/>
      <c r="F392" s="2"/>
      <c r="G392" s="2"/>
      <c r="H392" s="3"/>
      <c r="I392" s="294"/>
      <c r="J392" s="36"/>
      <c r="K392" s="29" t="s">
        <v>59</v>
      </c>
    </row>
    <row r="393" spans="1:12" ht="30.75" customHeight="1">
      <c r="A393" s="674" t="s">
        <v>74</v>
      </c>
      <c r="B393" s="674"/>
      <c r="C393" s="674"/>
      <c r="D393" s="3">
        <v>20</v>
      </c>
      <c r="E393" s="2">
        <v>1</v>
      </c>
      <c r="F393" s="2">
        <v>0.28</v>
      </c>
      <c r="G393" s="2">
        <v>8.1</v>
      </c>
      <c r="H393" s="3">
        <v>38.92</v>
      </c>
      <c r="I393" s="294"/>
      <c r="J393" s="36"/>
      <c r="K393" s="28" t="s">
        <v>22</v>
      </c>
      <c r="L393" s="82">
        <f>+C412+C379</f>
        <v>203</v>
      </c>
    </row>
    <row r="394" spans="1:12" ht="30.75" customHeight="1">
      <c r="A394" s="675" t="s">
        <v>72</v>
      </c>
      <c r="B394" s="675"/>
      <c r="C394" s="675"/>
      <c r="D394" s="1">
        <v>20</v>
      </c>
      <c r="E394" s="2"/>
      <c r="F394" s="2"/>
      <c r="G394" s="2"/>
      <c r="H394" s="3"/>
      <c r="I394" s="294"/>
      <c r="J394" s="36"/>
      <c r="K394" s="28" t="s">
        <v>24</v>
      </c>
      <c r="L394" s="82">
        <f>C375+C376+C378+C416+C418++C410+C419+C384+C428+C425+C400+C397+C402</f>
        <v>304.26666666666665</v>
      </c>
    </row>
    <row r="395" spans="1:12" ht="30.75" customHeight="1">
      <c r="A395" s="690" t="s">
        <v>205</v>
      </c>
      <c r="B395" s="690"/>
      <c r="C395" s="690"/>
      <c r="D395" s="243">
        <f>D396+265+D423+D430+D439</f>
        <v>845</v>
      </c>
      <c r="E395" s="71">
        <f>E396+E406+E423+E430+E439+E444+E446</f>
        <v>35.72</v>
      </c>
      <c r="F395" s="71">
        <f>F396+F406+F423+F430+F439+F444+F446</f>
        <v>35.36</v>
      </c>
      <c r="G395" s="71">
        <f>G396+G406+G423+G430+G439+G444+G446</f>
        <v>112.18</v>
      </c>
      <c r="H395" s="265">
        <f>H396+H406+H423+H430+H439+H444+H446</f>
        <v>909.84</v>
      </c>
      <c r="I395" s="293"/>
      <c r="J395" s="9"/>
      <c r="K395" s="28" t="s">
        <v>21</v>
      </c>
      <c r="L395" s="82">
        <f>D390+C389</f>
        <v>137</v>
      </c>
    </row>
    <row r="396" spans="1:11" ht="30.75" customHeight="1">
      <c r="A396" s="671" t="s">
        <v>515</v>
      </c>
      <c r="B396" s="671"/>
      <c r="C396" s="671"/>
      <c r="D396" s="1">
        <v>100</v>
      </c>
      <c r="E396" s="2">
        <v>2.8</v>
      </c>
      <c r="F396" s="2">
        <v>5.7</v>
      </c>
      <c r="G396" s="2">
        <v>3.7</v>
      </c>
      <c r="H396" s="3">
        <f>E396*4+F396*9+G396*4</f>
        <v>77.3</v>
      </c>
      <c r="I396" s="471" t="s">
        <v>516</v>
      </c>
      <c r="J396" s="9"/>
      <c r="K396" s="28" t="s">
        <v>25</v>
      </c>
    </row>
    <row r="397" spans="1:12" ht="30.75" customHeight="1">
      <c r="A397" s="100" t="s">
        <v>517</v>
      </c>
      <c r="B397" s="46">
        <f>C398*1.98</f>
        <v>99</v>
      </c>
      <c r="C397" s="46">
        <v>80</v>
      </c>
      <c r="D397" s="266"/>
      <c r="E397" s="50"/>
      <c r="F397" s="50"/>
      <c r="G397" s="50"/>
      <c r="H397" s="50"/>
      <c r="I397" s="468"/>
      <c r="J397" s="36"/>
      <c r="K397" s="28" t="s">
        <v>61</v>
      </c>
      <c r="L397" s="80">
        <f>D439</f>
        <v>200</v>
      </c>
    </row>
    <row r="398" spans="1:12" ht="30.75" customHeight="1">
      <c r="A398" s="585" t="s">
        <v>518</v>
      </c>
      <c r="B398" s="46"/>
      <c r="C398" s="47">
        <v>50</v>
      </c>
      <c r="D398" s="266"/>
      <c r="E398" s="50"/>
      <c r="F398" s="50"/>
      <c r="G398" s="50"/>
      <c r="H398" s="50"/>
      <c r="I398" s="468"/>
      <c r="J398" s="36"/>
      <c r="K398" s="28" t="s">
        <v>20</v>
      </c>
      <c r="L398" s="82">
        <f>C421+B388</f>
        <v>15.6</v>
      </c>
    </row>
    <row r="399" spans="1:21" s="83" customFormat="1" ht="30.75" customHeight="1">
      <c r="A399" s="685" t="s">
        <v>519</v>
      </c>
      <c r="B399" s="685"/>
      <c r="C399" s="685"/>
      <c r="D399" s="266"/>
      <c r="E399" s="50"/>
      <c r="F399" s="50"/>
      <c r="G399" s="50"/>
      <c r="H399" s="3"/>
      <c r="I399" s="320"/>
      <c r="J399" s="9"/>
      <c r="K399" s="28" t="s">
        <v>26</v>
      </c>
      <c r="L399" s="82"/>
      <c r="M399" s="80"/>
      <c r="N399" s="80"/>
      <c r="O399" s="80"/>
      <c r="P399" s="80"/>
      <c r="Q399" s="80"/>
      <c r="R399" s="80"/>
      <c r="S399" s="80"/>
      <c r="T399" s="80"/>
      <c r="U399" s="80"/>
    </row>
    <row r="400" spans="1:11" ht="30.75" customHeight="1">
      <c r="A400" s="25" t="s">
        <v>75</v>
      </c>
      <c r="B400" s="43">
        <f>C400*1.02</f>
        <v>20.4</v>
      </c>
      <c r="C400" s="22">
        <v>20</v>
      </c>
      <c r="D400" s="266"/>
      <c r="E400" s="50"/>
      <c r="F400" s="2"/>
      <c r="G400" s="2"/>
      <c r="H400" s="3"/>
      <c r="I400" s="320"/>
      <c r="J400" s="9"/>
      <c r="K400" s="27" t="s">
        <v>79</v>
      </c>
    </row>
    <row r="401" spans="1:12" ht="30.75" customHeight="1">
      <c r="A401" s="100" t="s">
        <v>89</v>
      </c>
      <c r="B401" s="43">
        <f>C401*1.18</f>
        <v>23.599999999999998</v>
      </c>
      <c r="C401" s="22">
        <v>20</v>
      </c>
      <c r="D401" s="266"/>
      <c r="E401" s="50"/>
      <c r="F401" s="2"/>
      <c r="G401" s="2"/>
      <c r="H401" s="3"/>
      <c r="I401" s="320"/>
      <c r="J401" s="9"/>
      <c r="K401" s="28" t="s">
        <v>27</v>
      </c>
      <c r="L401" s="81">
        <f>C387</f>
        <v>2</v>
      </c>
    </row>
    <row r="402" spans="1:12" ht="30.75" customHeight="1">
      <c r="A402" s="25" t="s">
        <v>492</v>
      </c>
      <c r="B402" s="43">
        <f>C402*1.02</f>
        <v>20.4</v>
      </c>
      <c r="C402" s="22">
        <v>20</v>
      </c>
      <c r="D402" s="266"/>
      <c r="E402" s="50"/>
      <c r="F402" s="2"/>
      <c r="G402" s="2"/>
      <c r="H402" s="3"/>
      <c r="I402" s="320"/>
      <c r="J402" s="9"/>
      <c r="K402" s="27" t="s">
        <v>199</v>
      </c>
      <c r="L402" s="262"/>
    </row>
    <row r="403" spans="1:12" ht="30.75" customHeight="1">
      <c r="A403" s="25" t="s">
        <v>114</v>
      </c>
      <c r="B403" s="43">
        <f>C403*1.05</f>
        <v>21</v>
      </c>
      <c r="C403" s="22">
        <v>20</v>
      </c>
      <c r="D403" s="266"/>
      <c r="E403" s="50"/>
      <c r="F403" s="2"/>
      <c r="G403" s="2"/>
      <c r="H403" s="3"/>
      <c r="I403" s="320"/>
      <c r="J403" s="9"/>
      <c r="K403" s="28" t="s">
        <v>67</v>
      </c>
      <c r="L403" s="82">
        <f>+C371</f>
        <v>79</v>
      </c>
    </row>
    <row r="404" spans="1:21" ht="30.75" customHeight="1">
      <c r="A404" s="585" t="s">
        <v>489</v>
      </c>
      <c r="B404" s="46">
        <v>10</v>
      </c>
      <c r="C404" s="47">
        <v>10</v>
      </c>
      <c r="D404" s="266"/>
      <c r="E404" s="50"/>
      <c r="F404" s="50"/>
      <c r="G404" s="50"/>
      <c r="H404" s="46"/>
      <c r="I404" s="470"/>
      <c r="J404" s="9"/>
      <c r="K404" s="27" t="s">
        <v>200</v>
      </c>
      <c r="L404" s="263"/>
      <c r="O404" s="83"/>
      <c r="P404" s="83"/>
      <c r="Q404" s="83"/>
      <c r="R404" s="83"/>
      <c r="S404" s="83"/>
      <c r="T404" s="83"/>
      <c r="U404" s="83"/>
    </row>
    <row r="405" spans="1:12" ht="30.75" customHeight="1">
      <c r="A405" s="25" t="s">
        <v>44</v>
      </c>
      <c r="B405" s="22">
        <v>5</v>
      </c>
      <c r="C405" s="22">
        <v>5</v>
      </c>
      <c r="D405" s="266"/>
      <c r="E405" s="43"/>
      <c r="F405" s="43"/>
      <c r="G405" s="43"/>
      <c r="H405" s="22"/>
      <c r="I405" s="320"/>
      <c r="J405" s="9"/>
      <c r="K405" s="27" t="s">
        <v>62</v>
      </c>
      <c r="L405" s="82">
        <f>C408+C424</f>
        <v>133</v>
      </c>
    </row>
    <row r="406" spans="1:12" ht="30.75" customHeight="1">
      <c r="A406" s="671" t="s">
        <v>520</v>
      </c>
      <c r="B406" s="671"/>
      <c r="C406" s="671"/>
      <c r="D406" s="668" t="s">
        <v>206</v>
      </c>
      <c r="E406" s="21">
        <v>5.7</v>
      </c>
      <c r="F406" s="21">
        <v>6.3</v>
      </c>
      <c r="G406" s="21">
        <v>21</v>
      </c>
      <c r="H406" s="238">
        <f>G406*4+F406*9+E406*4</f>
        <v>163.5</v>
      </c>
      <c r="I406" s="294" t="s">
        <v>246</v>
      </c>
      <c r="J406" s="9"/>
      <c r="K406" s="28" t="s">
        <v>28</v>
      </c>
      <c r="L406" s="82"/>
    </row>
    <row r="407" spans="1:12" ht="30" customHeight="1">
      <c r="A407" s="54" t="s">
        <v>460</v>
      </c>
      <c r="B407" s="37">
        <v>29</v>
      </c>
      <c r="C407" s="24">
        <v>26</v>
      </c>
      <c r="D407" s="33"/>
      <c r="E407" s="270"/>
      <c r="F407" s="32"/>
      <c r="G407" s="32"/>
      <c r="H407" s="45"/>
      <c r="I407" s="302"/>
      <c r="J407" s="9"/>
      <c r="K407" s="30" t="s">
        <v>29</v>
      </c>
      <c r="L407" s="82"/>
    </row>
    <row r="408" spans="1:12" ht="30" customHeight="1">
      <c r="A408" s="54" t="s">
        <v>459</v>
      </c>
      <c r="B408" s="37">
        <f>C408*1.04</f>
        <v>18.72</v>
      </c>
      <c r="C408" s="24">
        <v>18</v>
      </c>
      <c r="D408" s="420"/>
      <c r="E408" s="421"/>
      <c r="F408" s="38"/>
      <c r="G408" s="38"/>
      <c r="H408" s="104"/>
      <c r="I408" s="422"/>
      <c r="J408" s="9"/>
      <c r="K408" s="72" t="s">
        <v>85</v>
      </c>
      <c r="L408" s="82"/>
    </row>
    <row r="409" spans="1:12" ht="30" customHeight="1">
      <c r="A409" s="171" t="s">
        <v>457</v>
      </c>
      <c r="B409" s="126">
        <f>C409*1.054</f>
        <v>14.756</v>
      </c>
      <c r="C409" s="23">
        <v>14</v>
      </c>
      <c r="D409" s="282"/>
      <c r="E409" s="440"/>
      <c r="F409" s="33"/>
      <c r="G409" s="33"/>
      <c r="H409" s="24"/>
      <c r="I409" s="441"/>
      <c r="J409" s="9"/>
      <c r="K409" s="27" t="s">
        <v>30</v>
      </c>
      <c r="L409" s="82"/>
    </row>
    <row r="410" spans="1:12" ht="30" customHeight="1">
      <c r="A410" s="53" t="s">
        <v>147</v>
      </c>
      <c r="B410" s="24">
        <f>C410*1.25</f>
        <v>80</v>
      </c>
      <c r="C410" s="26">
        <v>64</v>
      </c>
      <c r="D410" s="234"/>
      <c r="E410" s="32"/>
      <c r="F410" s="32"/>
      <c r="G410" s="32"/>
      <c r="H410" s="45"/>
      <c r="I410" s="21"/>
      <c r="J410" s="9"/>
      <c r="K410" s="27" t="s">
        <v>31</v>
      </c>
      <c r="L410" s="82">
        <f>C422+C429</f>
        <v>25</v>
      </c>
    </row>
    <row r="411" spans="1:13" ht="30" customHeight="1">
      <c r="A411" s="115" t="s">
        <v>43</v>
      </c>
      <c r="B411" s="26">
        <f>C411*1.33</f>
        <v>85.34166666666668</v>
      </c>
      <c r="C411" s="26">
        <v>64.16666666666667</v>
      </c>
      <c r="D411" s="234"/>
      <c r="E411" s="32"/>
      <c r="F411" s="32"/>
      <c r="G411" s="32"/>
      <c r="H411" s="45"/>
      <c r="I411" s="21"/>
      <c r="J411" s="9"/>
      <c r="K411" s="28" t="s">
        <v>68</v>
      </c>
      <c r="M411" s="40"/>
    </row>
    <row r="412" spans="1:12" ht="30" customHeight="1">
      <c r="A412" s="115" t="s">
        <v>47</v>
      </c>
      <c r="B412" s="24">
        <f>C412*1.33</f>
        <v>57.190000000000005</v>
      </c>
      <c r="C412" s="26">
        <v>43</v>
      </c>
      <c r="D412" s="234"/>
      <c r="E412" s="32"/>
      <c r="F412" s="32"/>
      <c r="G412" s="32"/>
      <c r="H412" s="45"/>
      <c r="I412" s="21"/>
      <c r="J412" s="9"/>
      <c r="K412" s="27" t="s">
        <v>32</v>
      </c>
      <c r="L412" s="82">
        <f>C420+C426+C433</f>
        <v>15</v>
      </c>
    </row>
    <row r="413" spans="1:12" ht="30" customHeight="1">
      <c r="A413" s="115" t="s">
        <v>48</v>
      </c>
      <c r="B413" s="24">
        <f>C413*1.43</f>
        <v>61.489999999999995</v>
      </c>
      <c r="C413" s="26">
        <v>43</v>
      </c>
      <c r="D413" s="234"/>
      <c r="E413" s="32"/>
      <c r="F413" s="32"/>
      <c r="G413" s="32"/>
      <c r="H413" s="45"/>
      <c r="I413" s="21"/>
      <c r="J413" s="9"/>
      <c r="K413" s="27" t="s">
        <v>23</v>
      </c>
      <c r="L413" s="82">
        <f>B372+C405</f>
        <v>17</v>
      </c>
    </row>
    <row r="414" spans="1:12" ht="30" customHeight="1">
      <c r="A414" s="20" t="s">
        <v>49</v>
      </c>
      <c r="B414" s="24">
        <f>C414*1.54</f>
        <v>66.22</v>
      </c>
      <c r="C414" s="26">
        <v>43</v>
      </c>
      <c r="D414" s="234"/>
      <c r="E414" s="32"/>
      <c r="F414" s="32"/>
      <c r="G414" s="32"/>
      <c r="H414" s="45"/>
      <c r="I414" s="21"/>
      <c r="J414" s="9"/>
      <c r="K414" s="28" t="s">
        <v>33</v>
      </c>
      <c r="L414" s="82">
        <f>C404</f>
        <v>10</v>
      </c>
    </row>
    <row r="415" spans="1:21" s="83" customFormat="1" ht="30" customHeight="1">
      <c r="A415" s="20" t="s">
        <v>50</v>
      </c>
      <c r="B415" s="24">
        <f>C415*1.67</f>
        <v>71.81</v>
      </c>
      <c r="C415" s="26">
        <v>43</v>
      </c>
      <c r="D415" s="234"/>
      <c r="E415" s="32"/>
      <c r="F415" s="32"/>
      <c r="G415" s="32"/>
      <c r="H415" s="45"/>
      <c r="I415" s="21"/>
      <c r="J415" s="9"/>
      <c r="K415" s="28" t="s">
        <v>78</v>
      </c>
      <c r="L415" s="81"/>
      <c r="M415" s="80"/>
      <c r="N415" s="80"/>
      <c r="O415" s="80"/>
      <c r="P415" s="80"/>
      <c r="Q415" s="80"/>
      <c r="R415" s="80"/>
      <c r="S415" s="80"/>
      <c r="T415" s="80"/>
      <c r="U415" s="80"/>
    </row>
    <row r="416" spans="1:11" ht="30" customHeight="1">
      <c r="A416" s="115" t="s">
        <v>112</v>
      </c>
      <c r="B416" s="43">
        <f>C416*1.25</f>
        <v>12.5</v>
      </c>
      <c r="C416" s="26">
        <v>10</v>
      </c>
      <c r="D416" s="234"/>
      <c r="E416" s="32"/>
      <c r="F416" s="32"/>
      <c r="G416" s="32"/>
      <c r="H416" s="45"/>
      <c r="I416" s="21"/>
      <c r="J416" s="9"/>
      <c r="K416" s="264" t="s">
        <v>193</v>
      </c>
    </row>
    <row r="417" spans="1:10" ht="30" customHeight="1">
      <c r="A417" s="115" t="s">
        <v>43</v>
      </c>
      <c r="B417" s="43">
        <f>C417*1.33</f>
        <v>13.3</v>
      </c>
      <c r="C417" s="26">
        <v>10</v>
      </c>
      <c r="D417" s="234"/>
      <c r="E417" s="32"/>
      <c r="F417" s="32"/>
      <c r="G417" s="32"/>
      <c r="H417" s="45"/>
      <c r="I417" s="21"/>
      <c r="J417" s="9"/>
    </row>
    <row r="418" spans="1:10" ht="30" customHeight="1">
      <c r="A418" s="20" t="s">
        <v>51</v>
      </c>
      <c r="B418" s="26">
        <f>C418*1.19</f>
        <v>12.891666666666667</v>
      </c>
      <c r="C418" s="24">
        <v>10.833333333333334</v>
      </c>
      <c r="D418" s="234"/>
      <c r="E418" s="32"/>
      <c r="F418" s="32"/>
      <c r="G418" s="32"/>
      <c r="H418" s="45"/>
      <c r="I418" s="21"/>
      <c r="J418" s="9"/>
    </row>
    <row r="419" spans="1:10" ht="30" customHeight="1">
      <c r="A419" s="89" t="s">
        <v>83</v>
      </c>
      <c r="B419" s="24">
        <v>3</v>
      </c>
      <c r="C419" s="24">
        <v>3.3333333333333335</v>
      </c>
      <c r="D419" s="234"/>
      <c r="E419" s="32"/>
      <c r="F419" s="32"/>
      <c r="G419" s="32"/>
      <c r="H419" s="45"/>
      <c r="I419" s="21"/>
      <c r="J419" s="9"/>
    </row>
    <row r="420" spans="1:21" ht="30" customHeight="1">
      <c r="A420" s="89" t="s">
        <v>70</v>
      </c>
      <c r="B420" s="64">
        <v>5</v>
      </c>
      <c r="C420" s="61">
        <v>5</v>
      </c>
      <c r="D420" s="58"/>
      <c r="E420" s="38"/>
      <c r="F420" s="38"/>
      <c r="G420" s="38"/>
      <c r="H420" s="57"/>
      <c r="I420" s="309"/>
      <c r="J420" s="9"/>
      <c r="O420" s="83"/>
      <c r="P420" s="83"/>
      <c r="Q420" s="83"/>
      <c r="R420" s="83"/>
      <c r="S420" s="83"/>
      <c r="T420" s="83"/>
      <c r="U420" s="83"/>
    </row>
    <row r="421" spans="1:10" ht="30" customHeight="1">
      <c r="A421" s="20" t="s">
        <v>39</v>
      </c>
      <c r="B421" s="269">
        <v>0.6</v>
      </c>
      <c r="C421" s="269">
        <v>0.6</v>
      </c>
      <c r="D421" s="234"/>
      <c r="E421" s="32"/>
      <c r="F421" s="32"/>
      <c r="G421" s="32"/>
      <c r="H421" s="45"/>
      <c r="I421" s="21"/>
      <c r="J421" s="9"/>
    </row>
    <row r="422" spans="1:10" ht="30" customHeight="1">
      <c r="A422" s="115" t="s">
        <v>52</v>
      </c>
      <c r="B422" s="33">
        <v>5</v>
      </c>
      <c r="C422" s="33">
        <v>5</v>
      </c>
      <c r="D422" s="234"/>
      <c r="E422" s="32"/>
      <c r="F422" s="32"/>
      <c r="G422" s="32"/>
      <c r="H422" s="45"/>
      <c r="I422" s="21"/>
      <c r="J422" s="9"/>
    </row>
    <row r="423" spans="1:10" ht="30" customHeight="1">
      <c r="A423" s="674" t="s">
        <v>258</v>
      </c>
      <c r="B423" s="674"/>
      <c r="C423" s="674"/>
      <c r="D423" s="1">
        <v>100</v>
      </c>
      <c r="E423" s="2">
        <v>18.5</v>
      </c>
      <c r="F423" s="2">
        <v>18.7</v>
      </c>
      <c r="G423" s="2">
        <v>0.7</v>
      </c>
      <c r="H423" s="3">
        <f>E423*4+F423*9+G423*4</f>
        <v>245.1</v>
      </c>
      <c r="I423" s="294" t="s">
        <v>259</v>
      </c>
      <c r="J423" s="12"/>
    </row>
    <row r="424" spans="1:10" ht="30" customHeight="1">
      <c r="A424" s="171" t="s">
        <v>396</v>
      </c>
      <c r="B424" s="126">
        <f>C424*1.054</f>
        <v>121.21000000000001</v>
      </c>
      <c r="C424" s="23">
        <v>115</v>
      </c>
      <c r="D424" s="282"/>
      <c r="E424" s="440"/>
      <c r="F424" s="33"/>
      <c r="G424" s="33"/>
      <c r="H424" s="24"/>
      <c r="I424" s="441"/>
      <c r="J424" s="91"/>
    </row>
    <row r="425" spans="1:10" ht="30" customHeight="1">
      <c r="A425" s="89" t="s">
        <v>137</v>
      </c>
      <c r="B425" s="32">
        <v>0.1</v>
      </c>
      <c r="C425" s="23">
        <v>0.1</v>
      </c>
      <c r="D425" s="47"/>
      <c r="E425" s="50"/>
      <c r="F425" s="50"/>
      <c r="G425" s="50"/>
      <c r="H425" s="46"/>
      <c r="I425" s="305"/>
      <c r="J425" s="633"/>
    </row>
    <row r="426" spans="1:10" ht="30" customHeight="1">
      <c r="A426" s="593" t="s">
        <v>70</v>
      </c>
      <c r="B426" s="26">
        <v>5</v>
      </c>
      <c r="C426" s="26">
        <v>5</v>
      </c>
      <c r="D426" s="22"/>
      <c r="E426" s="43"/>
      <c r="F426" s="43"/>
      <c r="G426" s="43"/>
      <c r="H426" s="26"/>
      <c r="I426" s="294"/>
      <c r="J426" s="93"/>
    </row>
    <row r="427" spans="1:10" ht="30" customHeight="1">
      <c r="A427" s="101" t="s">
        <v>136</v>
      </c>
      <c r="B427" s="64"/>
      <c r="C427" s="57">
        <v>80</v>
      </c>
      <c r="D427" s="47"/>
      <c r="E427" s="594"/>
      <c r="F427" s="594"/>
      <c r="G427" s="594"/>
      <c r="H427" s="595"/>
      <c r="I427" s="296"/>
      <c r="J427" s="91"/>
    </row>
    <row r="428" spans="1:10" ht="30" customHeight="1">
      <c r="A428" s="89" t="s">
        <v>51</v>
      </c>
      <c r="B428" s="45">
        <f>C428*1.19</f>
        <v>23.799999999999997</v>
      </c>
      <c r="C428" s="23">
        <v>20</v>
      </c>
      <c r="D428" s="47"/>
      <c r="E428" s="50"/>
      <c r="F428" s="50"/>
      <c r="G428" s="50"/>
      <c r="H428" s="46"/>
      <c r="I428" s="305"/>
      <c r="J428" s="91"/>
    </row>
    <row r="429" spans="1:10" ht="30" customHeight="1">
      <c r="A429" s="89" t="s">
        <v>52</v>
      </c>
      <c r="B429" s="45">
        <v>20</v>
      </c>
      <c r="C429" s="23">
        <v>20</v>
      </c>
      <c r="D429" s="47"/>
      <c r="E429" s="50"/>
      <c r="F429" s="50"/>
      <c r="G429" s="50"/>
      <c r="H429" s="46"/>
      <c r="I429" s="305"/>
      <c r="J429" s="91"/>
    </row>
    <row r="430" spans="1:10" ht="30" customHeight="1">
      <c r="A430" s="675" t="s">
        <v>226</v>
      </c>
      <c r="B430" s="675"/>
      <c r="C430" s="675"/>
      <c r="D430" s="1">
        <v>180</v>
      </c>
      <c r="E430" s="2">
        <v>4.44</v>
      </c>
      <c r="F430" s="2">
        <v>3.7</v>
      </c>
      <c r="G430" s="2">
        <v>31.1</v>
      </c>
      <c r="H430" s="3">
        <f>G430*4+F430*9+E430*4</f>
        <v>175.46</v>
      </c>
      <c r="I430" s="294" t="s">
        <v>227</v>
      </c>
      <c r="J430" s="91"/>
    </row>
    <row r="431" spans="1:10" ht="30" customHeight="1">
      <c r="A431" s="20" t="s">
        <v>57</v>
      </c>
      <c r="B431" s="33">
        <v>63</v>
      </c>
      <c r="C431" s="33">
        <v>63</v>
      </c>
      <c r="D431" s="22"/>
      <c r="E431" s="43"/>
      <c r="F431" s="43"/>
      <c r="G431" s="43"/>
      <c r="H431" s="26"/>
      <c r="I431" s="294"/>
      <c r="J431" s="91"/>
    </row>
    <row r="432" spans="1:10" ht="30" customHeight="1">
      <c r="A432" s="20" t="s">
        <v>60</v>
      </c>
      <c r="B432" s="49">
        <v>152</v>
      </c>
      <c r="C432" s="26">
        <v>152</v>
      </c>
      <c r="D432" s="26"/>
      <c r="E432" s="43"/>
      <c r="F432" s="43"/>
      <c r="G432" s="43"/>
      <c r="H432" s="26"/>
      <c r="I432" s="294"/>
      <c r="J432" s="91"/>
    </row>
    <row r="433" spans="1:10" ht="30" customHeight="1">
      <c r="A433" s="89" t="s">
        <v>40</v>
      </c>
      <c r="B433" s="45">
        <v>5</v>
      </c>
      <c r="C433" s="45">
        <v>5</v>
      </c>
      <c r="D433" s="22"/>
      <c r="E433" s="43"/>
      <c r="F433" s="43"/>
      <c r="G433" s="43"/>
      <c r="H433" s="26"/>
      <c r="I433" s="304"/>
      <c r="J433" s="91"/>
    </row>
    <row r="434" spans="1:10" ht="30" customHeight="1">
      <c r="A434" s="692" t="s">
        <v>95</v>
      </c>
      <c r="B434" s="692"/>
      <c r="C434" s="692"/>
      <c r="D434" s="692"/>
      <c r="E434" s="692"/>
      <c r="F434" s="692"/>
      <c r="G434" s="692"/>
      <c r="H434" s="692"/>
      <c r="I434" s="692"/>
      <c r="J434" s="91"/>
    </row>
    <row r="435" spans="1:10" ht="30" customHeight="1">
      <c r="A435" s="675" t="s">
        <v>334</v>
      </c>
      <c r="B435" s="675"/>
      <c r="C435" s="675"/>
      <c r="D435" s="1">
        <v>180</v>
      </c>
      <c r="E435" s="21">
        <v>6.784615384615385</v>
      </c>
      <c r="F435" s="21">
        <v>3.8769230769230765</v>
      </c>
      <c r="G435" s="21">
        <v>33.23076923076923</v>
      </c>
      <c r="H435" s="396">
        <f>G435*4+F435*9+E435*4</f>
        <v>194.95384615384617</v>
      </c>
      <c r="I435" s="300" t="s">
        <v>341</v>
      </c>
      <c r="J435" s="91"/>
    </row>
    <row r="436" spans="1:10" ht="30" customHeight="1">
      <c r="A436" s="115" t="s">
        <v>333</v>
      </c>
      <c r="B436" s="24">
        <v>60</v>
      </c>
      <c r="C436" s="23">
        <v>60</v>
      </c>
      <c r="D436" s="282"/>
      <c r="E436" s="292"/>
      <c r="F436" s="292"/>
      <c r="G436" s="292"/>
      <c r="H436" s="353"/>
      <c r="I436" s="292"/>
      <c r="J436" s="91"/>
    </row>
    <row r="437" spans="1:10" ht="30" customHeight="1">
      <c r="A437" s="115" t="s">
        <v>60</v>
      </c>
      <c r="B437" s="24">
        <v>140</v>
      </c>
      <c r="C437" s="23">
        <v>140</v>
      </c>
      <c r="D437" s="282"/>
      <c r="E437" s="292"/>
      <c r="F437" s="292"/>
      <c r="G437" s="292"/>
      <c r="H437" s="353"/>
      <c r="I437" s="292"/>
      <c r="J437" s="91"/>
    </row>
    <row r="438" spans="1:10" ht="30" customHeight="1">
      <c r="A438" s="53" t="s">
        <v>70</v>
      </c>
      <c r="B438" s="45">
        <v>5</v>
      </c>
      <c r="C438" s="45">
        <v>5</v>
      </c>
      <c r="D438" s="282"/>
      <c r="E438" s="21"/>
      <c r="F438" s="21"/>
      <c r="G438" s="21"/>
      <c r="H438" s="238"/>
      <c r="I438" s="300"/>
      <c r="J438" s="91"/>
    </row>
    <row r="439" spans="1:10" ht="30" customHeight="1">
      <c r="A439" s="278" t="s">
        <v>278</v>
      </c>
      <c r="B439" s="1">
        <v>200</v>
      </c>
      <c r="C439" s="1">
        <v>200</v>
      </c>
      <c r="D439" s="1">
        <v>200</v>
      </c>
      <c r="E439" s="2">
        <v>0.4</v>
      </c>
      <c r="F439" s="2">
        <v>0</v>
      </c>
      <c r="G439" s="2">
        <v>22</v>
      </c>
      <c r="H439" s="3">
        <f>E439*4+F439*9+G439*4</f>
        <v>89.6</v>
      </c>
      <c r="I439" s="297" t="s">
        <v>279</v>
      </c>
      <c r="J439" s="91"/>
    </row>
    <row r="440" spans="1:10" ht="30" customHeight="1">
      <c r="A440" s="692" t="s">
        <v>95</v>
      </c>
      <c r="B440" s="692"/>
      <c r="C440" s="692"/>
      <c r="D440" s="692"/>
      <c r="E440" s="692"/>
      <c r="F440" s="692"/>
      <c r="G440" s="692"/>
      <c r="H440" s="692"/>
      <c r="I440" s="692"/>
      <c r="J440" s="91"/>
    </row>
    <row r="441" spans="1:10" ht="30" customHeight="1">
      <c r="A441" s="675" t="s">
        <v>417</v>
      </c>
      <c r="B441" s="702"/>
      <c r="C441" s="702"/>
      <c r="D441" s="4">
        <v>200</v>
      </c>
      <c r="E441" s="2">
        <v>0.3</v>
      </c>
      <c r="F441" s="2">
        <v>0.02</v>
      </c>
      <c r="G441" s="2">
        <v>26.4</v>
      </c>
      <c r="H441" s="3">
        <f>E441*4+F441*9+G441*4</f>
        <v>106.97999999999999</v>
      </c>
      <c r="I441" s="320" t="s">
        <v>418</v>
      </c>
      <c r="J441" s="91"/>
    </row>
    <row r="442" spans="1:10" ht="30" customHeight="1">
      <c r="A442" s="25" t="s">
        <v>419</v>
      </c>
      <c r="B442" s="22">
        <v>25</v>
      </c>
      <c r="C442" s="22">
        <v>25</v>
      </c>
      <c r="D442" s="1"/>
      <c r="E442" s="63"/>
      <c r="F442" s="63"/>
      <c r="G442" s="63"/>
      <c r="H442" s="105"/>
      <c r="I442" s="474"/>
      <c r="J442" s="91"/>
    </row>
    <row r="443" spans="1:10" ht="30" customHeight="1">
      <c r="A443" s="25" t="s">
        <v>39</v>
      </c>
      <c r="B443" s="22">
        <v>10</v>
      </c>
      <c r="C443" s="22">
        <v>10</v>
      </c>
      <c r="D443" s="1"/>
      <c r="E443" s="63"/>
      <c r="F443" s="63"/>
      <c r="G443" s="63"/>
      <c r="H443" s="105"/>
      <c r="I443" s="470"/>
      <c r="J443" s="91"/>
    </row>
    <row r="444" spans="1:10" ht="30" customHeight="1">
      <c r="A444" s="674" t="s">
        <v>34</v>
      </c>
      <c r="B444" s="674"/>
      <c r="C444" s="674"/>
      <c r="D444" s="1">
        <v>40</v>
      </c>
      <c r="E444" s="2">
        <v>1.88</v>
      </c>
      <c r="F444" s="2">
        <v>0.4</v>
      </c>
      <c r="G444" s="2">
        <v>17.48</v>
      </c>
      <c r="H444" s="3">
        <v>81.04</v>
      </c>
      <c r="I444" s="294"/>
      <c r="J444" s="91"/>
    </row>
    <row r="445" spans="1:10" ht="30" customHeight="1">
      <c r="A445" s="675" t="s">
        <v>145</v>
      </c>
      <c r="B445" s="675"/>
      <c r="C445" s="675"/>
      <c r="D445" s="1">
        <v>40</v>
      </c>
      <c r="E445" s="2"/>
      <c r="F445" s="2"/>
      <c r="G445" s="2"/>
      <c r="H445" s="3"/>
      <c r="I445" s="294"/>
      <c r="J445" s="91"/>
    </row>
    <row r="446" spans="1:10" ht="30" customHeight="1">
      <c r="A446" s="674" t="s">
        <v>74</v>
      </c>
      <c r="B446" s="674"/>
      <c r="C446" s="674"/>
      <c r="D446" s="3">
        <v>40</v>
      </c>
      <c r="E446" s="2">
        <v>2</v>
      </c>
      <c r="F446" s="2">
        <v>0.56</v>
      </c>
      <c r="G446" s="2">
        <v>16.2</v>
      </c>
      <c r="H446" s="3">
        <v>77.84</v>
      </c>
      <c r="I446" s="294"/>
      <c r="J446" s="91"/>
    </row>
    <row r="447" spans="1:10" ht="30" customHeight="1">
      <c r="A447" s="675" t="s">
        <v>72</v>
      </c>
      <c r="B447" s="675"/>
      <c r="C447" s="675"/>
      <c r="D447" s="1">
        <v>40</v>
      </c>
      <c r="E447" s="2"/>
      <c r="F447" s="2"/>
      <c r="G447" s="2"/>
      <c r="H447" s="3"/>
      <c r="I447" s="294"/>
      <c r="J447" s="91"/>
    </row>
    <row r="448" spans="1:32" ht="30" customHeight="1">
      <c r="A448" s="698" t="s">
        <v>202</v>
      </c>
      <c r="B448" s="698"/>
      <c r="C448" s="698"/>
      <c r="D448" s="266"/>
      <c r="E448" s="235">
        <f>E367+E395</f>
        <v>50.64</v>
      </c>
      <c r="F448" s="235">
        <f>F367+F395</f>
        <v>52.56</v>
      </c>
      <c r="G448" s="235">
        <f>G367+G395</f>
        <v>201.14000000000001</v>
      </c>
      <c r="H448" s="267">
        <f>H367+H395</f>
        <v>1479.38</v>
      </c>
      <c r="I448" s="302"/>
      <c r="J448" s="91"/>
      <c r="U448" s="87"/>
      <c r="V448" s="87"/>
      <c r="W448" s="87"/>
      <c r="X448" s="87"/>
      <c r="Y448" s="87"/>
      <c r="Z448" s="87"/>
      <c r="AA448" s="87"/>
      <c r="AB448" s="87"/>
      <c r="AC448" s="87"/>
      <c r="AD448" s="87"/>
      <c r="AE448" s="87"/>
      <c r="AF448" s="87"/>
    </row>
    <row r="449" spans="1:32" ht="30" customHeight="1">
      <c r="A449" s="706" t="s">
        <v>15</v>
      </c>
      <c r="B449" s="706"/>
      <c r="C449" s="706"/>
      <c r="D449" s="706"/>
      <c r="E449" s="706"/>
      <c r="F449" s="706"/>
      <c r="G449" s="706"/>
      <c r="H449" s="707"/>
      <c r="I449" s="706"/>
      <c r="J449" s="91"/>
      <c r="U449" s="87"/>
      <c r="V449" s="87"/>
      <c r="W449" s="87"/>
      <c r="X449" s="87"/>
      <c r="Y449" s="87"/>
      <c r="Z449" s="87"/>
      <c r="AA449" s="87"/>
      <c r="AB449" s="87"/>
      <c r="AC449" s="87"/>
      <c r="AD449" s="87"/>
      <c r="AE449" s="87"/>
      <c r="AF449" s="87"/>
    </row>
    <row r="450" spans="1:32" ht="30" customHeight="1">
      <c r="A450" s="693" t="s">
        <v>1</v>
      </c>
      <c r="B450" s="676" t="s">
        <v>2</v>
      </c>
      <c r="C450" s="676" t="s">
        <v>3</v>
      </c>
      <c r="D450" s="676" t="s">
        <v>4</v>
      </c>
      <c r="E450" s="676"/>
      <c r="F450" s="676"/>
      <c r="G450" s="676"/>
      <c r="H450" s="676"/>
      <c r="I450" s="682" t="s">
        <v>201</v>
      </c>
      <c r="J450" s="91"/>
      <c r="U450" s="87"/>
      <c r="V450" s="87"/>
      <c r="W450" s="87"/>
      <c r="X450" s="87"/>
      <c r="Y450" s="87"/>
      <c r="Z450" s="87"/>
      <c r="AA450" s="87"/>
      <c r="AB450" s="87"/>
      <c r="AC450" s="87"/>
      <c r="AD450" s="87"/>
      <c r="AE450" s="87"/>
      <c r="AF450" s="87"/>
    </row>
    <row r="451" spans="1:32" ht="30" customHeight="1">
      <c r="A451" s="693"/>
      <c r="B451" s="676"/>
      <c r="C451" s="676"/>
      <c r="D451" s="6" t="s">
        <v>5</v>
      </c>
      <c r="E451" s="62" t="s">
        <v>6</v>
      </c>
      <c r="F451" s="62" t="s">
        <v>7</v>
      </c>
      <c r="G451" s="62" t="s">
        <v>8</v>
      </c>
      <c r="H451" s="69" t="s">
        <v>9</v>
      </c>
      <c r="I451" s="682"/>
      <c r="J451" s="91"/>
      <c r="U451" s="87"/>
      <c r="V451" s="633"/>
      <c r="W451" s="633"/>
      <c r="X451" s="634"/>
      <c r="Y451" s="179"/>
      <c r="Z451" s="179"/>
      <c r="AA451" s="179"/>
      <c r="AB451" s="179"/>
      <c r="AC451" s="179"/>
      <c r="AD451" s="179"/>
      <c r="AE451" s="179"/>
      <c r="AF451" s="179"/>
    </row>
    <row r="452" spans="1:32" ht="30" customHeight="1">
      <c r="A452" s="690" t="s">
        <v>10</v>
      </c>
      <c r="B452" s="690"/>
      <c r="C452" s="690"/>
      <c r="D452" s="265">
        <f>150+D473+D477+D480+D483</f>
        <v>680</v>
      </c>
      <c r="E452" s="265">
        <f>E453+E473+E477+E480+E483+E484+E486</f>
        <v>20.979999999999997</v>
      </c>
      <c r="F452" s="265">
        <f>F453+F473+F477+F480+F483+F484+F486</f>
        <v>19.680000000000003</v>
      </c>
      <c r="G452" s="265">
        <f>G453+G473+G477+G480+G483+G484+G486</f>
        <v>90.41999999999999</v>
      </c>
      <c r="H452" s="265">
        <f>H453+H473+H477+H480+H483+H484+H486</f>
        <v>621.9399999999999</v>
      </c>
      <c r="I452" s="293"/>
      <c r="J452" s="8"/>
      <c r="U452" s="87"/>
      <c r="V452" s="633"/>
      <c r="W452" s="633"/>
      <c r="X452" s="633"/>
      <c r="Y452" s="633"/>
      <c r="Z452" s="633"/>
      <c r="AA452" s="633"/>
      <c r="AB452" s="633"/>
      <c r="AC452" s="633"/>
      <c r="AD452" s="633"/>
      <c r="AE452" s="633"/>
      <c r="AF452" s="633"/>
    </row>
    <row r="453" spans="1:34" ht="30" customHeight="1">
      <c r="A453" s="675" t="s">
        <v>592</v>
      </c>
      <c r="B453" s="675"/>
      <c r="C453" s="675"/>
      <c r="D453" s="632" t="s">
        <v>593</v>
      </c>
      <c r="E453" s="21">
        <v>12.7</v>
      </c>
      <c r="F453" s="21">
        <v>12.9</v>
      </c>
      <c r="G453" s="21">
        <v>12.8</v>
      </c>
      <c r="H453" s="238">
        <f>G453*4+F453*9+E453*4</f>
        <v>218.10000000000002</v>
      </c>
      <c r="I453" s="297" t="s">
        <v>594</v>
      </c>
      <c r="J453" s="8"/>
      <c r="P453" s="87"/>
      <c r="Q453" s="87"/>
      <c r="R453" s="87"/>
      <c r="S453" s="87"/>
      <c r="T453" s="87"/>
      <c r="U453" s="87"/>
      <c r="V453" s="76"/>
      <c r="W453" s="76"/>
      <c r="X453" s="634"/>
      <c r="Y453" s="183"/>
      <c r="Z453" s="183"/>
      <c r="AA453" s="183"/>
      <c r="AB453" s="183"/>
      <c r="AC453" s="183"/>
      <c r="AD453" s="183"/>
      <c r="AE453" s="183"/>
      <c r="AF453" s="183"/>
      <c r="AG453" s="87"/>
      <c r="AH453" s="87"/>
    </row>
    <row r="454" spans="1:34" ht="30" customHeight="1">
      <c r="A454" s="132" t="s">
        <v>328</v>
      </c>
      <c r="B454" s="37">
        <f>C454*1.17</f>
        <v>38.61</v>
      </c>
      <c r="C454" s="33">
        <v>33</v>
      </c>
      <c r="D454" s="632"/>
      <c r="E454" s="21"/>
      <c r="F454" s="21"/>
      <c r="G454" s="21"/>
      <c r="H454" s="238"/>
      <c r="I454" s="297"/>
      <c r="J454" s="9"/>
      <c r="P454" s="87"/>
      <c r="Q454" s="87"/>
      <c r="R454" s="87"/>
      <c r="S454" s="87"/>
      <c r="T454" s="87"/>
      <c r="U454" s="87"/>
      <c r="V454" s="76"/>
      <c r="W454" s="76"/>
      <c r="X454" s="74"/>
      <c r="Y454" s="183"/>
      <c r="Z454" s="183"/>
      <c r="AA454" s="183"/>
      <c r="AB454" s="183"/>
      <c r="AC454" s="183"/>
      <c r="AD454" s="183"/>
      <c r="AE454" s="183"/>
      <c r="AF454" s="183"/>
      <c r="AG454" s="87"/>
      <c r="AH454" s="87"/>
    </row>
    <row r="455" spans="1:34" ht="30" customHeight="1">
      <c r="A455" s="132" t="s">
        <v>45</v>
      </c>
      <c r="B455" s="37">
        <f>C455*1.36</f>
        <v>44.88</v>
      </c>
      <c r="C455" s="23">
        <v>33</v>
      </c>
      <c r="D455" s="45"/>
      <c r="E455" s="32"/>
      <c r="F455" s="32"/>
      <c r="G455" s="32"/>
      <c r="H455" s="45"/>
      <c r="I455" s="32"/>
      <c r="J455" s="9"/>
      <c r="P455" s="87"/>
      <c r="Q455" s="87"/>
      <c r="R455" s="87"/>
      <c r="S455" s="87"/>
      <c r="T455" s="87"/>
      <c r="U455" s="87"/>
      <c r="V455" s="76"/>
      <c r="W455" s="76"/>
      <c r="X455" s="74"/>
      <c r="Y455" s="211"/>
      <c r="Z455" s="211"/>
      <c r="AA455" s="211"/>
      <c r="AB455" s="211"/>
      <c r="AC455" s="211"/>
      <c r="AD455" s="211"/>
      <c r="AE455" s="211"/>
      <c r="AF455" s="211"/>
      <c r="AG455" s="87"/>
      <c r="AH455" s="87"/>
    </row>
    <row r="456" spans="1:34" ht="30" customHeight="1">
      <c r="A456" s="132" t="s">
        <v>46</v>
      </c>
      <c r="B456" s="37">
        <f>C456*1.18</f>
        <v>38.94</v>
      </c>
      <c r="C456" s="33">
        <v>33</v>
      </c>
      <c r="D456" s="646"/>
      <c r="E456" s="399"/>
      <c r="F456" s="399"/>
      <c r="G456" s="399"/>
      <c r="H456" s="316"/>
      <c r="I456" s="399"/>
      <c r="J456" s="9"/>
      <c r="P456" s="87"/>
      <c r="Q456" s="680"/>
      <c r="R456" s="680"/>
      <c r="S456" s="680"/>
      <c r="T456" s="66"/>
      <c r="U456" s="633"/>
      <c r="V456" s="76"/>
      <c r="W456" s="76"/>
      <c r="X456" s="74"/>
      <c r="Y456" s="211"/>
      <c r="Z456" s="211"/>
      <c r="AA456" s="212"/>
      <c r="AB456" s="211"/>
      <c r="AC456" s="211"/>
      <c r="AD456" s="211"/>
      <c r="AE456" s="211"/>
      <c r="AF456" s="211"/>
      <c r="AG456" s="87"/>
      <c r="AH456" s="87"/>
    </row>
    <row r="457" spans="1:34" ht="30.75" customHeight="1">
      <c r="A457" s="20" t="s">
        <v>42</v>
      </c>
      <c r="B457" s="33">
        <v>15</v>
      </c>
      <c r="C457" s="33">
        <v>15</v>
      </c>
      <c r="D457" s="45"/>
      <c r="E457" s="32"/>
      <c r="F457" s="32"/>
      <c r="G457" s="32"/>
      <c r="H457" s="45"/>
      <c r="I457" s="21"/>
      <c r="J457" s="9"/>
      <c r="P457" s="87"/>
      <c r="Q457" s="136"/>
      <c r="R457" s="135"/>
      <c r="S457" s="74"/>
      <c r="T457" s="79"/>
      <c r="U457" s="633"/>
      <c r="V457" s="76"/>
      <c r="W457" s="76"/>
      <c r="X457" s="74"/>
      <c r="Y457" s="211"/>
      <c r="Z457" s="211"/>
      <c r="AA457" s="212"/>
      <c r="AB457" s="211"/>
      <c r="AC457" s="211"/>
      <c r="AD457" s="211"/>
      <c r="AE457" s="211"/>
      <c r="AF457" s="211"/>
      <c r="AG457" s="87"/>
      <c r="AH457" s="87"/>
    </row>
    <row r="458" spans="1:34" ht="30.75" customHeight="1">
      <c r="A458" s="20" t="s">
        <v>51</v>
      </c>
      <c r="B458" s="24">
        <f>C458*1.19</f>
        <v>24.99</v>
      </c>
      <c r="C458" s="33">
        <v>21</v>
      </c>
      <c r="D458" s="45"/>
      <c r="E458" s="32"/>
      <c r="F458" s="32"/>
      <c r="G458" s="32"/>
      <c r="H458" s="45"/>
      <c r="I458" s="21"/>
      <c r="J458" s="9"/>
      <c r="P458" s="87"/>
      <c r="Q458" s="136"/>
      <c r="R458" s="135"/>
      <c r="S458" s="74"/>
      <c r="T458" s="79"/>
      <c r="U458" s="76"/>
      <c r="V458" s="76"/>
      <c r="W458" s="76"/>
      <c r="X458" s="74"/>
      <c r="Y458" s="211"/>
      <c r="Z458" s="211"/>
      <c r="AA458" s="211"/>
      <c r="AB458" s="211"/>
      <c r="AC458" s="211"/>
      <c r="AD458" s="211"/>
      <c r="AE458" s="211"/>
      <c r="AF458" s="211"/>
      <c r="AG458" s="87"/>
      <c r="AH458" s="87"/>
    </row>
    <row r="459" spans="1:34" ht="30.75" customHeight="1">
      <c r="A459" s="53" t="s">
        <v>302</v>
      </c>
      <c r="B459" s="23">
        <v>20</v>
      </c>
      <c r="C459" s="23">
        <v>20</v>
      </c>
      <c r="D459" s="45"/>
      <c r="E459" s="32"/>
      <c r="F459" s="32"/>
      <c r="G459" s="32"/>
      <c r="H459" s="45"/>
      <c r="I459" s="21"/>
      <c r="J459" s="9"/>
      <c r="P459" s="87"/>
      <c r="Q459" s="139"/>
      <c r="R459" s="135"/>
      <c r="S459" s="74"/>
      <c r="T459" s="79"/>
      <c r="U459" s="76"/>
      <c r="V459" s="76"/>
      <c r="W459" s="76"/>
      <c r="X459" s="74"/>
      <c r="Y459" s="211"/>
      <c r="Z459" s="211"/>
      <c r="AA459" s="211"/>
      <c r="AB459" s="211"/>
      <c r="AC459" s="211"/>
      <c r="AD459" s="211"/>
      <c r="AE459" s="211"/>
      <c r="AF459" s="211"/>
      <c r="AG459" s="87"/>
      <c r="AH459" s="87"/>
    </row>
    <row r="460" spans="1:34" ht="30.75" customHeight="1">
      <c r="A460" s="20" t="s">
        <v>70</v>
      </c>
      <c r="B460" s="33">
        <v>10</v>
      </c>
      <c r="C460" s="33">
        <v>10</v>
      </c>
      <c r="D460" s="45"/>
      <c r="E460" s="32"/>
      <c r="F460" s="32"/>
      <c r="G460" s="32"/>
      <c r="H460" s="45"/>
      <c r="I460" s="21"/>
      <c r="J460" s="9"/>
      <c r="P460" s="87"/>
      <c r="Q460" s="136"/>
      <c r="R460" s="74"/>
      <c r="S460" s="74"/>
      <c r="T460" s="79"/>
      <c r="U460" s="129"/>
      <c r="V460" s="76"/>
      <c r="W460" s="76"/>
      <c r="X460" s="74"/>
      <c r="Y460" s="211"/>
      <c r="Z460" s="211"/>
      <c r="AA460" s="211"/>
      <c r="AB460" s="211"/>
      <c r="AC460" s="211"/>
      <c r="AD460" s="211"/>
      <c r="AE460" s="211"/>
      <c r="AF460" s="211"/>
      <c r="AG460" s="87"/>
      <c r="AH460" s="87"/>
    </row>
    <row r="461" spans="1:34" ht="30.75" customHeight="1">
      <c r="A461" s="442" t="s">
        <v>338</v>
      </c>
      <c r="B461" s="244"/>
      <c r="C461" s="244">
        <v>15</v>
      </c>
      <c r="D461" s="45"/>
      <c r="E461" s="32"/>
      <c r="F461" s="32"/>
      <c r="G461" s="32"/>
      <c r="H461" s="45"/>
      <c r="I461" s="21"/>
      <c r="J461" s="9"/>
      <c r="P461" s="87"/>
      <c r="Q461" s="136"/>
      <c r="R461" s="74"/>
      <c r="S461" s="74"/>
      <c r="T461" s="79"/>
      <c r="U461" s="129"/>
      <c r="V461" s="76"/>
      <c r="W461" s="76"/>
      <c r="X461" s="74"/>
      <c r="Y461" s="211"/>
      <c r="Z461" s="211"/>
      <c r="AA461" s="211"/>
      <c r="AB461" s="211"/>
      <c r="AC461" s="211"/>
      <c r="AD461" s="211"/>
      <c r="AE461" s="211"/>
      <c r="AF461" s="211"/>
      <c r="AG461" s="87"/>
      <c r="AH461" s="87"/>
    </row>
    <row r="462" spans="1:34" ht="30.75" customHeight="1">
      <c r="A462" s="20" t="s">
        <v>54</v>
      </c>
      <c r="B462" s="33">
        <v>3</v>
      </c>
      <c r="C462" s="33">
        <v>3</v>
      </c>
      <c r="D462" s="45"/>
      <c r="E462" s="32"/>
      <c r="F462" s="32"/>
      <c r="G462" s="32"/>
      <c r="H462" s="45"/>
      <c r="I462" s="21"/>
      <c r="J462" s="9"/>
      <c r="P462" s="87"/>
      <c r="Q462" s="136"/>
      <c r="R462" s="74"/>
      <c r="S462" s="74"/>
      <c r="T462" s="79"/>
      <c r="U462" s="129"/>
      <c r="V462" s="76"/>
      <c r="W462" s="76"/>
      <c r="X462" s="74"/>
      <c r="Y462" s="211"/>
      <c r="Z462" s="211"/>
      <c r="AA462" s="211"/>
      <c r="AB462" s="211"/>
      <c r="AC462" s="211"/>
      <c r="AD462" s="211"/>
      <c r="AE462" s="211"/>
      <c r="AF462" s="211"/>
      <c r="AG462" s="87"/>
      <c r="AH462" s="87"/>
    </row>
    <row r="463" spans="1:34" ht="30.75" customHeight="1">
      <c r="A463" s="20" t="s">
        <v>44</v>
      </c>
      <c r="B463" s="33">
        <v>3.5</v>
      </c>
      <c r="C463" s="33">
        <v>3.5</v>
      </c>
      <c r="D463" s="45"/>
      <c r="E463" s="32"/>
      <c r="F463" s="32"/>
      <c r="G463" s="32"/>
      <c r="H463" s="45"/>
      <c r="I463" s="21"/>
      <c r="J463" s="9"/>
      <c r="P463" s="87"/>
      <c r="Q463" s="136"/>
      <c r="R463" s="74"/>
      <c r="S463" s="74"/>
      <c r="T463" s="79"/>
      <c r="U463" s="129"/>
      <c r="V463" s="76"/>
      <c r="W463" s="76"/>
      <c r="X463" s="74"/>
      <c r="Y463" s="193"/>
      <c r="Z463" s="193"/>
      <c r="AA463" s="193"/>
      <c r="AB463" s="193"/>
      <c r="AC463" s="193"/>
      <c r="AD463" s="193"/>
      <c r="AE463" s="193"/>
      <c r="AF463" s="193"/>
      <c r="AG463" s="87"/>
      <c r="AH463" s="87"/>
    </row>
    <row r="464" spans="1:34" ht="30.75" customHeight="1">
      <c r="A464" s="53" t="s">
        <v>340</v>
      </c>
      <c r="B464" s="23">
        <v>45</v>
      </c>
      <c r="C464" s="23">
        <v>45</v>
      </c>
      <c r="D464" s="23"/>
      <c r="E464" s="21"/>
      <c r="F464" s="21"/>
      <c r="G464" s="21"/>
      <c r="H464" s="238"/>
      <c r="I464" s="21"/>
      <c r="J464" s="9"/>
      <c r="K464" s="80" t="s">
        <v>15</v>
      </c>
      <c r="P464" s="87"/>
      <c r="Q464" s="136"/>
      <c r="R464" s="74"/>
      <c r="S464" s="74"/>
      <c r="T464" s="79"/>
      <c r="U464" s="129"/>
      <c r="V464" s="87"/>
      <c r="W464" s="87"/>
      <c r="X464" s="87"/>
      <c r="Y464" s="87"/>
      <c r="Z464" s="87"/>
      <c r="AA464" s="87"/>
      <c r="AB464" s="87"/>
      <c r="AC464" s="87"/>
      <c r="AD464" s="87"/>
      <c r="AE464" s="87"/>
      <c r="AF464" s="87"/>
      <c r="AG464" s="87"/>
      <c r="AH464" s="87"/>
    </row>
    <row r="465" spans="1:34" ht="30.75" customHeight="1">
      <c r="A465" s="53" t="s">
        <v>70</v>
      </c>
      <c r="B465" s="23">
        <v>2.3</v>
      </c>
      <c r="C465" s="23">
        <v>2.3</v>
      </c>
      <c r="D465" s="23"/>
      <c r="E465" s="32"/>
      <c r="F465" s="32"/>
      <c r="G465" s="32"/>
      <c r="H465" s="45"/>
      <c r="I465" s="21"/>
      <c r="J465" s="9"/>
      <c r="K465" s="27" t="s">
        <v>34</v>
      </c>
      <c r="L465" s="31">
        <f>D484+D548</f>
        <v>60</v>
      </c>
      <c r="P465" s="87"/>
      <c r="Q465" s="213"/>
      <c r="R465" s="74"/>
      <c r="S465" s="74"/>
      <c r="T465" s="79"/>
      <c r="U465" s="129"/>
      <c r="V465" s="87"/>
      <c r="W465" s="87"/>
      <c r="X465" s="87"/>
      <c r="Y465" s="87"/>
      <c r="Z465" s="87"/>
      <c r="AA465" s="87"/>
      <c r="AB465" s="87"/>
      <c r="AC465" s="87"/>
      <c r="AD465" s="87"/>
      <c r="AE465" s="87"/>
      <c r="AF465" s="87"/>
      <c r="AG465" s="87"/>
      <c r="AH465" s="87"/>
    </row>
    <row r="466" spans="1:34" ht="30.75" customHeight="1">
      <c r="A466" s="20" t="s">
        <v>54</v>
      </c>
      <c r="B466" s="23">
        <v>2.3</v>
      </c>
      <c r="C466" s="23">
        <v>2.3</v>
      </c>
      <c r="D466" s="23"/>
      <c r="E466" s="32"/>
      <c r="F466" s="32"/>
      <c r="G466" s="32"/>
      <c r="H466" s="45"/>
      <c r="I466" s="21"/>
      <c r="J466" s="9"/>
      <c r="K466" s="28" t="s">
        <v>35</v>
      </c>
      <c r="L466" s="82">
        <f>D486+D550+C516+C457</f>
        <v>82</v>
      </c>
      <c r="P466" s="87"/>
      <c r="Q466" s="136"/>
      <c r="R466" s="74"/>
      <c r="S466" s="74"/>
      <c r="T466" s="79"/>
      <c r="U466" s="129"/>
      <c r="V466" s="87"/>
      <c r="W466" s="87"/>
      <c r="X466" s="87"/>
      <c r="Y466" s="87"/>
      <c r="Z466" s="87"/>
      <c r="AA466" s="87"/>
      <c r="AB466" s="87"/>
      <c r="AC466" s="87"/>
      <c r="AD466" s="87"/>
      <c r="AE466" s="87"/>
      <c r="AF466" s="87"/>
      <c r="AG466" s="87"/>
      <c r="AH466" s="87"/>
    </row>
    <row r="467" spans="1:34" ht="30.75" customHeight="1">
      <c r="A467" s="89" t="s">
        <v>83</v>
      </c>
      <c r="B467" s="24">
        <v>12</v>
      </c>
      <c r="C467" s="24">
        <v>12</v>
      </c>
      <c r="D467" s="23"/>
      <c r="E467" s="32"/>
      <c r="F467" s="32"/>
      <c r="G467" s="32"/>
      <c r="H467" s="45"/>
      <c r="I467" s="21"/>
      <c r="J467" s="9"/>
      <c r="K467" s="28" t="s">
        <v>65</v>
      </c>
      <c r="L467" s="82">
        <f>C462+C466+C522</f>
        <v>13.3</v>
      </c>
      <c r="P467" s="87"/>
      <c r="Q467" s="136"/>
      <c r="R467" s="74"/>
      <c r="S467" s="74"/>
      <c r="T467" s="79"/>
      <c r="U467" s="129"/>
      <c r="V467" s="87"/>
      <c r="W467" s="87"/>
      <c r="X467" s="87"/>
      <c r="Y467" s="87"/>
      <c r="Z467" s="87"/>
      <c r="AA467" s="87"/>
      <c r="AB467" s="87"/>
      <c r="AC467" s="87"/>
      <c r="AD467" s="87"/>
      <c r="AE467" s="87"/>
      <c r="AF467" s="87"/>
      <c r="AG467" s="87"/>
      <c r="AH467" s="87"/>
    </row>
    <row r="468" spans="1:34" ht="30.75" customHeight="1">
      <c r="A468" s="115" t="s">
        <v>112</v>
      </c>
      <c r="B468" s="24">
        <f>C468*1.25</f>
        <v>5</v>
      </c>
      <c r="C468" s="33">
        <v>4</v>
      </c>
      <c r="D468" s="23"/>
      <c r="E468" s="32"/>
      <c r="F468" s="32"/>
      <c r="G468" s="32"/>
      <c r="H468" s="45"/>
      <c r="I468" s="21"/>
      <c r="J468" s="9"/>
      <c r="K468" s="29" t="s">
        <v>66</v>
      </c>
      <c r="L468" s="82">
        <f>C503+C474</f>
        <v>50</v>
      </c>
      <c r="P468" s="87"/>
      <c r="Q468" s="213"/>
      <c r="R468" s="79"/>
      <c r="S468" s="79"/>
      <c r="T468" s="79"/>
      <c r="U468" s="76"/>
      <c r="V468" s="87"/>
      <c r="W468" s="87"/>
      <c r="X468" s="87"/>
      <c r="Y468" s="87"/>
      <c r="Z468" s="87"/>
      <c r="AA468" s="87"/>
      <c r="AB468" s="87"/>
      <c r="AC468" s="87"/>
      <c r="AD468" s="87"/>
      <c r="AE468" s="87"/>
      <c r="AF468" s="87"/>
      <c r="AG468" s="87"/>
      <c r="AH468" s="87"/>
    </row>
    <row r="469" spans="1:34" ht="30.75" customHeight="1">
      <c r="A469" s="115" t="s">
        <v>43</v>
      </c>
      <c r="B469" s="270">
        <f>C469*1.33</f>
        <v>5.32</v>
      </c>
      <c r="C469" s="33">
        <v>4</v>
      </c>
      <c r="D469" s="23"/>
      <c r="E469" s="32"/>
      <c r="F469" s="32"/>
      <c r="G469" s="32"/>
      <c r="H469" s="45"/>
      <c r="I469" s="21"/>
      <c r="J469" s="9"/>
      <c r="K469" s="29" t="s">
        <v>59</v>
      </c>
      <c r="L469" s="82"/>
      <c r="P469" s="87"/>
      <c r="Q469" s="87"/>
      <c r="R469" s="87"/>
      <c r="S469" s="87"/>
      <c r="T469" s="87"/>
      <c r="U469" s="87"/>
      <c r="V469" s="87"/>
      <c r="W469" s="87"/>
      <c r="X469" s="87"/>
      <c r="Y469" s="87"/>
      <c r="Z469" s="87"/>
      <c r="AA469" s="87"/>
      <c r="AB469" s="87"/>
      <c r="AC469" s="87"/>
      <c r="AD469" s="87"/>
      <c r="AE469" s="87"/>
      <c r="AF469" s="87"/>
      <c r="AG469" s="87"/>
      <c r="AH469" s="87"/>
    </row>
    <row r="470" spans="1:34" ht="30.75" customHeight="1">
      <c r="A470" s="20" t="s">
        <v>51</v>
      </c>
      <c r="B470" s="270">
        <f>C470*1.19</f>
        <v>1.19</v>
      </c>
      <c r="C470" s="33">
        <v>1</v>
      </c>
      <c r="D470" s="32"/>
      <c r="E470" s="32"/>
      <c r="F470" s="32"/>
      <c r="G470" s="32"/>
      <c r="H470" s="45"/>
      <c r="I470" s="21"/>
      <c r="J470" s="9"/>
      <c r="K470" s="28" t="s">
        <v>22</v>
      </c>
      <c r="L470" s="82">
        <f>+C537+C499</f>
        <v>245</v>
      </c>
      <c r="P470" s="395"/>
      <c r="Q470" s="395"/>
      <c r="R470" s="395"/>
      <c r="S470" s="66"/>
      <c r="T470" s="633"/>
      <c r="U470" s="633"/>
      <c r="V470" s="633"/>
      <c r="W470" s="633"/>
      <c r="X470" s="356"/>
      <c r="Y470" s="87"/>
      <c r="Z470" s="87"/>
      <c r="AA470" s="87"/>
      <c r="AB470" s="87"/>
      <c r="AC470" s="87"/>
      <c r="AD470" s="87"/>
      <c r="AE470" s="87"/>
      <c r="AF470" s="87"/>
      <c r="AG470" s="87"/>
      <c r="AH470" s="87"/>
    </row>
    <row r="471" spans="1:34" ht="30.75" customHeight="1">
      <c r="A471" s="53" t="s">
        <v>595</v>
      </c>
      <c r="B471" s="23">
        <v>0.8</v>
      </c>
      <c r="C471" s="23">
        <v>0.8</v>
      </c>
      <c r="D471" s="23"/>
      <c r="E471" s="32"/>
      <c r="F471" s="32"/>
      <c r="G471" s="32"/>
      <c r="H471" s="45"/>
      <c r="I471" s="21"/>
      <c r="J471" s="9"/>
      <c r="K471" s="28" t="s">
        <v>24</v>
      </c>
      <c r="L471" s="82">
        <f>++C504+C493+++C4340++C491++C478+C458+C467+C468+C470+C505+C507+C518+C519+C542</f>
        <v>194</v>
      </c>
      <c r="P471" s="377"/>
      <c r="Q471" s="138"/>
      <c r="R471" s="216"/>
      <c r="S471" s="66"/>
      <c r="T471" s="633"/>
      <c r="U471" s="633"/>
      <c r="V471" s="633"/>
      <c r="W471" s="633"/>
      <c r="X471" s="362"/>
      <c r="Y471" s="87"/>
      <c r="Z471" s="87"/>
      <c r="AA471" s="87"/>
      <c r="AB471" s="87"/>
      <c r="AC471" s="87"/>
      <c r="AD471" s="87"/>
      <c r="AE471" s="87"/>
      <c r="AF471" s="87"/>
      <c r="AG471" s="87"/>
      <c r="AH471" s="87"/>
    </row>
    <row r="472" spans="1:34" ht="30.75" customHeight="1">
      <c r="A472" s="20" t="s">
        <v>39</v>
      </c>
      <c r="B472" s="33">
        <v>0.5</v>
      </c>
      <c r="C472" s="33">
        <v>0.5</v>
      </c>
      <c r="D472" s="23"/>
      <c r="E472" s="32"/>
      <c r="F472" s="32"/>
      <c r="G472" s="32"/>
      <c r="H472" s="45"/>
      <c r="I472" s="21"/>
      <c r="J472" s="9"/>
      <c r="K472" s="28" t="s">
        <v>21</v>
      </c>
      <c r="L472" s="82">
        <f>D483</f>
        <v>130</v>
      </c>
      <c r="P472" s="377"/>
      <c r="Q472" s="138"/>
      <c r="R472" s="216"/>
      <c r="S472" s="66"/>
      <c r="T472" s="633"/>
      <c r="U472" s="633"/>
      <c r="V472" s="633"/>
      <c r="W472" s="633"/>
      <c r="X472" s="356"/>
      <c r="Y472" s="87"/>
      <c r="Z472" s="87"/>
      <c r="AA472" s="87"/>
      <c r="AB472" s="87"/>
      <c r="AC472" s="87"/>
      <c r="AD472" s="87"/>
      <c r="AE472" s="87"/>
      <c r="AF472" s="87"/>
      <c r="AG472" s="87"/>
      <c r="AH472" s="87"/>
    </row>
    <row r="473" spans="1:34" ht="30.75" customHeight="1">
      <c r="A473" s="674" t="s">
        <v>379</v>
      </c>
      <c r="B473" s="674"/>
      <c r="C473" s="674"/>
      <c r="D473" s="1">
        <v>180</v>
      </c>
      <c r="E473" s="2">
        <v>5.6</v>
      </c>
      <c r="F473" s="2">
        <v>5.8</v>
      </c>
      <c r="G473" s="2">
        <v>24.72</v>
      </c>
      <c r="H473" s="3">
        <f>G473*4+F473*9+E473*4</f>
        <v>173.48</v>
      </c>
      <c r="I473" s="297" t="s">
        <v>241</v>
      </c>
      <c r="J473" s="9"/>
      <c r="K473" s="28" t="s">
        <v>25</v>
      </c>
      <c r="L473" s="82">
        <f>C546</f>
        <v>25</v>
      </c>
      <c r="P473" s="378"/>
      <c r="Q473" s="138"/>
      <c r="R473" s="216"/>
      <c r="S473" s="66"/>
      <c r="T473" s="633"/>
      <c r="U473" s="633"/>
      <c r="V473" s="633"/>
      <c r="W473" s="633"/>
      <c r="X473" s="356"/>
      <c r="Y473" s="633"/>
      <c r="Z473" s="633"/>
      <c r="AA473" s="633"/>
      <c r="AB473" s="633"/>
      <c r="AC473" s="633"/>
      <c r="AD473" s="633"/>
      <c r="AE473" s="633"/>
      <c r="AF473" s="633"/>
      <c r="AG473" s="87"/>
      <c r="AH473" s="87"/>
    </row>
    <row r="474" spans="1:34" ht="28.5" customHeight="1">
      <c r="A474" s="53" t="s">
        <v>53</v>
      </c>
      <c r="B474" s="23">
        <v>45</v>
      </c>
      <c r="C474" s="23">
        <v>45</v>
      </c>
      <c r="D474" s="22"/>
      <c r="E474" s="160"/>
      <c r="F474" s="160"/>
      <c r="G474" s="160"/>
      <c r="H474" s="3"/>
      <c r="I474" s="297"/>
      <c r="J474" s="9"/>
      <c r="K474" s="28" t="s">
        <v>61</v>
      </c>
      <c r="P474" s="378"/>
      <c r="Q474" s="138"/>
      <c r="R474" s="216"/>
      <c r="S474" s="66"/>
      <c r="T474" s="633"/>
      <c r="U474" s="633"/>
      <c r="V474" s="633"/>
      <c r="W474" s="633"/>
      <c r="X474" s="356"/>
      <c r="Y474" s="129"/>
      <c r="Z474" s="129"/>
      <c r="AA474" s="129"/>
      <c r="AB474" s="129"/>
      <c r="AC474" s="129"/>
      <c r="AD474" s="129"/>
      <c r="AE474" s="129"/>
      <c r="AF474" s="129"/>
      <c r="AG474" s="87"/>
      <c r="AH474" s="87"/>
    </row>
    <row r="475" spans="1:34" ht="28.5" customHeight="1">
      <c r="A475" s="53" t="s">
        <v>60</v>
      </c>
      <c r="B475" s="23">
        <v>144</v>
      </c>
      <c r="C475" s="23">
        <v>144</v>
      </c>
      <c r="D475" s="22"/>
      <c r="E475" s="35"/>
      <c r="F475" s="35"/>
      <c r="G475" s="35"/>
      <c r="H475" s="26"/>
      <c r="I475" s="297"/>
      <c r="J475" s="9"/>
      <c r="K475" s="28" t="s">
        <v>20</v>
      </c>
      <c r="L475" s="82">
        <f>+C482+C547</f>
        <v>30</v>
      </c>
      <c r="P475" s="378"/>
      <c r="Q475" s="138"/>
      <c r="R475" s="216"/>
      <c r="S475" s="66"/>
      <c r="T475" s="633"/>
      <c r="U475" s="633"/>
      <c r="V475" s="633"/>
      <c r="W475" s="633"/>
      <c r="X475" s="356"/>
      <c r="Y475" s="214"/>
      <c r="Z475" s="214"/>
      <c r="AA475" s="214"/>
      <c r="AB475" s="214"/>
      <c r="AC475" s="214"/>
      <c r="AD475" s="214"/>
      <c r="AE475" s="214"/>
      <c r="AF475" s="214"/>
      <c r="AG475" s="87"/>
      <c r="AH475" s="87"/>
    </row>
    <row r="476" spans="1:34" ht="28.5" customHeight="1">
      <c r="A476" s="89" t="s">
        <v>40</v>
      </c>
      <c r="B476" s="23">
        <v>6</v>
      </c>
      <c r="C476" s="23">
        <v>6</v>
      </c>
      <c r="D476" s="43"/>
      <c r="E476" s="43"/>
      <c r="F476" s="43"/>
      <c r="G476" s="43"/>
      <c r="H476" s="26"/>
      <c r="I476" s="304"/>
      <c r="J476" s="9"/>
      <c r="K476" s="28" t="s">
        <v>26</v>
      </c>
      <c r="L476" s="82"/>
      <c r="P476" s="377"/>
      <c r="Q476" s="379"/>
      <c r="R476" s="216"/>
      <c r="S476" s="66"/>
      <c r="T476" s="633"/>
      <c r="U476" s="633"/>
      <c r="V476" s="633"/>
      <c r="W476" s="633"/>
      <c r="X476" s="356"/>
      <c r="Y476" s="633"/>
      <c r="Z476" s="633"/>
      <c r="AA476" s="179"/>
      <c r="AB476" s="633"/>
      <c r="AC476" s="633"/>
      <c r="AD476" s="633"/>
      <c r="AE476" s="633"/>
      <c r="AF476" s="633"/>
      <c r="AG476" s="87"/>
      <c r="AH476" s="87"/>
    </row>
    <row r="477" spans="1:34" ht="28.5" customHeight="1">
      <c r="A477" s="412" t="s">
        <v>620</v>
      </c>
      <c r="B477" s="413"/>
      <c r="C477" s="239"/>
      <c r="D477" s="239">
        <v>20</v>
      </c>
      <c r="E477" s="240">
        <v>0.18</v>
      </c>
      <c r="F477" s="240">
        <v>0.1</v>
      </c>
      <c r="G477" s="240">
        <v>0.5</v>
      </c>
      <c r="H477" s="238">
        <f>G477*4+F477*9+E477*4</f>
        <v>3.62</v>
      </c>
      <c r="I477" s="297" t="s">
        <v>350</v>
      </c>
      <c r="J477" s="9"/>
      <c r="K477" s="27" t="s">
        <v>79</v>
      </c>
      <c r="P477" s="378"/>
      <c r="Q477" s="379"/>
      <c r="R477" s="78"/>
      <c r="S477" s="66"/>
      <c r="T477" s="633"/>
      <c r="U477" s="633"/>
      <c r="V477" s="633"/>
      <c r="W477" s="633"/>
      <c r="X477" s="356"/>
      <c r="Y477" s="129"/>
      <c r="Z477" s="129"/>
      <c r="AA477" s="129"/>
      <c r="AB477" s="129"/>
      <c r="AC477" s="129"/>
      <c r="AD477" s="129"/>
      <c r="AE477" s="129"/>
      <c r="AF477" s="129"/>
      <c r="AG477" s="87"/>
      <c r="AH477" s="87"/>
    </row>
    <row r="478" spans="1:34" ht="28.5" customHeight="1">
      <c r="A478" s="115" t="s">
        <v>351</v>
      </c>
      <c r="B478" s="43">
        <f>C478*1.02</f>
        <v>20.4</v>
      </c>
      <c r="C478" s="230">
        <v>20</v>
      </c>
      <c r="D478" s="239"/>
      <c r="E478" s="240"/>
      <c r="F478" s="240"/>
      <c r="G478" s="240"/>
      <c r="H478" s="396"/>
      <c r="I478" s="284"/>
      <c r="J478" s="9"/>
      <c r="K478" s="28" t="s">
        <v>27</v>
      </c>
      <c r="L478" s="82">
        <f>C481</f>
        <v>2</v>
      </c>
      <c r="P478" s="378"/>
      <c r="Q478" s="379"/>
      <c r="R478" s="78"/>
      <c r="S478" s="66"/>
      <c r="T478" s="633"/>
      <c r="U478" s="633"/>
      <c r="V478" s="633"/>
      <c r="W478" s="633"/>
      <c r="X478" s="356"/>
      <c r="Y478" s="129"/>
      <c r="Z478" s="129"/>
      <c r="AA478" s="129"/>
      <c r="AB478" s="129"/>
      <c r="AC478" s="129"/>
      <c r="AD478" s="129"/>
      <c r="AE478" s="129"/>
      <c r="AF478" s="129"/>
      <c r="AG478" s="87"/>
      <c r="AH478" s="87"/>
    </row>
    <row r="479" spans="1:34" ht="28.5" customHeight="1">
      <c r="A479" s="115" t="s">
        <v>114</v>
      </c>
      <c r="B479" s="26">
        <f>C479*1.05</f>
        <v>21</v>
      </c>
      <c r="C479" s="230">
        <v>20</v>
      </c>
      <c r="D479" s="239"/>
      <c r="E479" s="240"/>
      <c r="F479" s="240"/>
      <c r="G479" s="240"/>
      <c r="H479" s="396"/>
      <c r="I479" s="284"/>
      <c r="J479" s="9"/>
      <c r="K479" s="27" t="s">
        <v>199</v>
      </c>
      <c r="L479" s="262"/>
      <c r="P479" s="256"/>
      <c r="Q479" s="256"/>
      <c r="R479" s="256"/>
      <c r="S479" s="66"/>
      <c r="T479" s="380"/>
      <c r="U479" s="380"/>
      <c r="V479" s="633"/>
      <c r="W479" s="633"/>
      <c r="X479" s="356"/>
      <c r="Y479" s="129"/>
      <c r="Z479" s="129"/>
      <c r="AA479" s="129"/>
      <c r="AB479" s="129"/>
      <c r="AC479" s="129"/>
      <c r="AD479" s="129"/>
      <c r="AE479" s="129"/>
      <c r="AF479" s="129"/>
      <c r="AG479" s="87"/>
      <c r="AH479" s="87"/>
    </row>
    <row r="480" spans="1:34" ht="28.5" customHeight="1">
      <c r="A480" s="674" t="s">
        <v>269</v>
      </c>
      <c r="B480" s="674"/>
      <c r="C480" s="674"/>
      <c r="D480" s="1">
        <v>200</v>
      </c>
      <c r="E480" s="2">
        <v>0.2</v>
      </c>
      <c r="F480" s="2">
        <v>0</v>
      </c>
      <c r="G480" s="2">
        <v>15</v>
      </c>
      <c r="H480" s="3">
        <f>G480*4+F480*9+E480*4</f>
        <v>60.8</v>
      </c>
      <c r="I480" s="294" t="s">
        <v>270</v>
      </c>
      <c r="J480" s="9"/>
      <c r="K480" s="28" t="s">
        <v>67</v>
      </c>
      <c r="L480" s="82">
        <f>C454+C497</f>
        <v>49</v>
      </c>
      <c r="P480" s="180"/>
      <c r="Q480" s="363"/>
      <c r="R480" s="364"/>
      <c r="S480" s="66"/>
      <c r="T480" s="381"/>
      <c r="U480" s="381"/>
      <c r="V480" s="335"/>
      <c r="W480" s="633"/>
      <c r="X480" s="355"/>
      <c r="Y480" s="214"/>
      <c r="Z480" s="214"/>
      <c r="AA480" s="214"/>
      <c r="AB480" s="214"/>
      <c r="AC480" s="214"/>
      <c r="AD480" s="214"/>
      <c r="AE480" s="214"/>
      <c r="AF480" s="214"/>
      <c r="AG480" s="87"/>
      <c r="AH480" s="87"/>
    </row>
    <row r="481" spans="1:34" ht="28.5" customHeight="1">
      <c r="A481" s="53" t="s">
        <v>113</v>
      </c>
      <c r="B481" s="57">
        <v>2</v>
      </c>
      <c r="C481" s="57">
        <v>2</v>
      </c>
      <c r="D481" s="47"/>
      <c r="E481" s="231"/>
      <c r="F481" s="231"/>
      <c r="G481" s="35"/>
      <c r="H481" s="26"/>
      <c r="I481" s="297"/>
      <c r="J481" s="9"/>
      <c r="K481" s="27" t="s">
        <v>200</v>
      </c>
      <c r="L481" s="263"/>
      <c r="P481" s="180"/>
      <c r="Q481" s="379"/>
      <c r="R481" s="78"/>
      <c r="S481" s="66"/>
      <c r="T481" s="633"/>
      <c r="U481" s="633"/>
      <c r="V481" s="633"/>
      <c r="W481" s="633"/>
      <c r="X481" s="356"/>
      <c r="Y481" s="214"/>
      <c r="Z481" s="214"/>
      <c r="AA481" s="214"/>
      <c r="AB481" s="214"/>
      <c r="AC481" s="214"/>
      <c r="AD481" s="214"/>
      <c r="AE481" s="214"/>
      <c r="AF481" s="214"/>
      <c r="AG481" s="87"/>
      <c r="AH481" s="87"/>
    </row>
    <row r="482" spans="1:34" ht="28.5" customHeight="1">
      <c r="A482" s="89" t="s">
        <v>94</v>
      </c>
      <c r="B482" s="58">
        <v>15</v>
      </c>
      <c r="C482" s="58">
        <v>15</v>
      </c>
      <c r="D482" s="47"/>
      <c r="E482" s="47"/>
      <c r="F482" s="47"/>
      <c r="G482" s="47"/>
      <c r="H482" s="46"/>
      <c r="I482" s="296"/>
      <c r="J482" s="9"/>
      <c r="K482" s="27" t="s">
        <v>62</v>
      </c>
      <c r="L482" s="82"/>
      <c r="P482" s="180"/>
      <c r="Q482" s="363"/>
      <c r="R482" s="78"/>
      <c r="S482" s="66"/>
      <c r="T482" s="335"/>
      <c r="U482" s="335"/>
      <c r="V482" s="335"/>
      <c r="W482" s="633"/>
      <c r="X482" s="355"/>
      <c r="Y482" s="129"/>
      <c r="Z482" s="129"/>
      <c r="AA482" s="129"/>
      <c r="AB482" s="129"/>
      <c r="AC482" s="129"/>
      <c r="AD482" s="129"/>
      <c r="AE482" s="129"/>
      <c r="AF482" s="129"/>
      <c r="AG482" s="87"/>
      <c r="AH482" s="87"/>
    </row>
    <row r="483" spans="1:34" ht="28.5" customHeight="1">
      <c r="A483" s="683" t="s">
        <v>239</v>
      </c>
      <c r="B483" s="683"/>
      <c r="C483" s="683"/>
      <c r="D483" s="4">
        <v>130</v>
      </c>
      <c r="E483" s="222">
        <v>0.6</v>
      </c>
      <c r="F483" s="222">
        <v>0.5</v>
      </c>
      <c r="G483" s="222">
        <v>19.9</v>
      </c>
      <c r="H483" s="3">
        <f>G483*4+F483*9+E483*4</f>
        <v>86.5</v>
      </c>
      <c r="I483" s="294" t="s">
        <v>224</v>
      </c>
      <c r="J483" s="9"/>
      <c r="K483" s="28" t="s">
        <v>28</v>
      </c>
      <c r="L483" s="82">
        <f>C511+C514</f>
        <v>84</v>
      </c>
      <c r="P483" s="180"/>
      <c r="Q483" s="379"/>
      <c r="R483" s="78"/>
      <c r="S483" s="66"/>
      <c r="T483" s="633"/>
      <c r="U483" s="633"/>
      <c r="V483" s="633"/>
      <c r="W483" s="633"/>
      <c r="X483" s="356"/>
      <c r="Y483" s="129"/>
      <c r="Z483" s="129"/>
      <c r="AA483" s="129"/>
      <c r="AB483" s="129"/>
      <c r="AC483" s="129"/>
      <c r="AD483" s="129"/>
      <c r="AE483" s="129"/>
      <c r="AF483" s="129"/>
      <c r="AG483" s="87"/>
      <c r="AH483" s="87"/>
    </row>
    <row r="484" spans="1:34" ht="28.5" customHeight="1">
      <c r="A484" s="674" t="s">
        <v>34</v>
      </c>
      <c r="B484" s="674"/>
      <c r="C484" s="674"/>
      <c r="D484" s="1">
        <v>20</v>
      </c>
      <c r="E484" s="2">
        <v>0.7</v>
      </c>
      <c r="F484" s="2">
        <v>0.1</v>
      </c>
      <c r="G484" s="2">
        <v>9.4</v>
      </c>
      <c r="H484" s="3">
        <v>40.52</v>
      </c>
      <c r="I484" s="294"/>
      <c r="J484" s="9"/>
      <c r="K484" s="30" t="s">
        <v>29</v>
      </c>
      <c r="L484" s="82">
        <f>+B517+C459</f>
        <v>27</v>
      </c>
      <c r="P484" s="87"/>
      <c r="Q484" s="215"/>
      <c r="R484" s="216"/>
      <c r="S484" s="216"/>
      <c r="T484" s="216"/>
      <c r="U484" s="129"/>
      <c r="V484" s="87"/>
      <c r="W484" s="87"/>
      <c r="X484" s="87"/>
      <c r="Y484" s="87"/>
      <c r="Z484" s="87"/>
      <c r="AA484" s="87"/>
      <c r="AB484" s="87"/>
      <c r="AC484" s="87"/>
      <c r="AD484" s="87"/>
      <c r="AE484" s="87"/>
      <c r="AF484" s="87"/>
      <c r="AG484" s="87"/>
      <c r="AH484" s="87"/>
    </row>
    <row r="485" spans="1:34" ht="28.5" customHeight="1">
      <c r="A485" s="675" t="s">
        <v>145</v>
      </c>
      <c r="B485" s="675"/>
      <c r="C485" s="675"/>
      <c r="D485" s="1">
        <v>20</v>
      </c>
      <c r="E485" s="2"/>
      <c r="F485" s="2"/>
      <c r="G485" s="2"/>
      <c r="H485" s="3"/>
      <c r="I485" s="294"/>
      <c r="J485" s="9"/>
      <c r="K485" s="72" t="s">
        <v>85</v>
      </c>
      <c r="L485" s="82"/>
      <c r="P485" s="87"/>
      <c r="Q485" s="139"/>
      <c r="R485" s="78"/>
      <c r="S485" s="78"/>
      <c r="T485" s="66"/>
      <c r="U485" s="66"/>
      <c r="V485" s="87"/>
      <c r="W485" s="87"/>
      <c r="X485" s="87"/>
      <c r="Y485" s="87"/>
      <c r="Z485" s="87"/>
      <c r="AA485" s="87"/>
      <c r="AB485" s="87"/>
      <c r="AC485" s="87"/>
      <c r="AD485" s="87"/>
      <c r="AE485" s="87"/>
      <c r="AF485" s="87"/>
      <c r="AG485" s="87"/>
      <c r="AH485" s="87"/>
    </row>
    <row r="486" spans="1:34" ht="28.5" customHeight="1">
      <c r="A486" s="674" t="s">
        <v>74</v>
      </c>
      <c r="B486" s="674"/>
      <c r="C486" s="674"/>
      <c r="D486" s="3">
        <v>20</v>
      </c>
      <c r="E486" s="2">
        <v>1</v>
      </c>
      <c r="F486" s="2">
        <v>0.28</v>
      </c>
      <c r="G486" s="2">
        <v>8.1</v>
      </c>
      <c r="H486" s="3">
        <v>38.92</v>
      </c>
      <c r="I486" s="294"/>
      <c r="J486" s="9"/>
      <c r="K486" s="27" t="s">
        <v>30</v>
      </c>
      <c r="L486" s="82"/>
      <c r="P486" s="87"/>
      <c r="Q486" s="139"/>
      <c r="R486" s="78"/>
      <c r="S486" s="78"/>
      <c r="T486" s="66"/>
      <c r="U486" s="66"/>
      <c r="V486" s="87"/>
      <c r="W486" s="87"/>
      <c r="X486" s="87"/>
      <c r="Y486" s="87"/>
      <c r="Z486" s="87"/>
      <c r="AA486" s="87"/>
      <c r="AB486" s="87"/>
      <c r="AC486" s="87"/>
      <c r="AD486" s="87"/>
      <c r="AE486" s="87"/>
      <c r="AF486" s="87"/>
      <c r="AG486" s="87"/>
      <c r="AH486" s="87"/>
    </row>
    <row r="487" spans="1:34" ht="28.5" customHeight="1">
      <c r="A487" s="675" t="s">
        <v>72</v>
      </c>
      <c r="B487" s="675"/>
      <c r="C487" s="675"/>
      <c r="D487" s="1">
        <v>20</v>
      </c>
      <c r="E487" s="2"/>
      <c r="F487" s="2"/>
      <c r="G487" s="2"/>
      <c r="H487" s="3"/>
      <c r="I487" s="294"/>
      <c r="J487" s="9"/>
      <c r="K487" s="27" t="s">
        <v>31</v>
      </c>
      <c r="L487" s="82">
        <f>C509</f>
        <v>5</v>
      </c>
      <c r="P487" s="87"/>
      <c r="Q487" s="139"/>
      <c r="R487" s="216"/>
      <c r="S487" s="216"/>
      <c r="T487" s="216"/>
      <c r="U487" s="129"/>
      <c r="V487" s="87"/>
      <c r="W487" s="87"/>
      <c r="X487" s="87"/>
      <c r="Y487" s="87"/>
      <c r="Z487" s="87"/>
      <c r="AA487" s="87"/>
      <c r="AB487" s="87"/>
      <c r="AC487" s="87"/>
      <c r="AD487" s="87"/>
      <c r="AE487" s="87"/>
      <c r="AF487" s="87"/>
      <c r="AG487" s="87"/>
      <c r="AH487" s="87"/>
    </row>
    <row r="488" spans="1:34" ht="28.5" customHeight="1">
      <c r="A488" s="690" t="s">
        <v>205</v>
      </c>
      <c r="B488" s="690"/>
      <c r="C488" s="690"/>
      <c r="D488" s="243">
        <f>D489+265+D510+D536+D545</f>
        <v>845</v>
      </c>
      <c r="E488" s="71">
        <f>E489+E496+E510+E536+E545+E548+E550</f>
        <v>26.22</v>
      </c>
      <c r="F488" s="71">
        <f>F489+F496+F510+F536+F545+F548+F550</f>
        <v>27.729999999999993</v>
      </c>
      <c r="G488" s="71">
        <f>G489+G496+G510+G536+G545+G548+G550</f>
        <v>121.50000000000001</v>
      </c>
      <c r="H488" s="71">
        <f>H489+H496+H510+H536+H545+H548+H550</f>
        <v>840.4499999999999</v>
      </c>
      <c r="I488" s="293"/>
      <c r="J488" s="9"/>
      <c r="K488" s="28" t="s">
        <v>68</v>
      </c>
      <c r="L488" s="82"/>
      <c r="P488" s="87"/>
      <c r="Q488" s="217"/>
      <c r="R488" s="216"/>
      <c r="S488" s="216"/>
      <c r="T488" s="216"/>
      <c r="U488" s="129"/>
      <c r="V488" s="87"/>
      <c r="W488" s="87"/>
      <c r="X488" s="87"/>
      <c r="Y488" s="87"/>
      <c r="Z488" s="87"/>
      <c r="AA488" s="87"/>
      <c r="AB488" s="87"/>
      <c r="AC488" s="87"/>
      <c r="AD488" s="87"/>
      <c r="AE488" s="87"/>
      <c r="AF488" s="87"/>
      <c r="AG488" s="87"/>
      <c r="AH488" s="87"/>
    </row>
    <row r="489" spans="1:34" ht="28.5" customHeight="1">
      <c r="A489" s="671" t="s">
        <v>526</v>
      </c>
      <c r="B489" s="671"/>
      <c r="C489" s="671"/>
      <c r="D489" s="1">
        <v>100</v>
      </c>
      <c r="E489" s="21">
        <v>1.7</v>
      </c>
      <c r="F489" s="21">
        <v>5.2</v>
      </c>
      <c r="G489" s="21">
        <v>7.3</v>
      </c>
      <c r="H489" s="238">
        <f>E489*4+F489*9+G489*4</f>
        <v>82.8</v>
      </c>
      <c r="I489" s="297" t="s">
        <v>614</v>
      </c>
      <c r="J489" s="9"/>
      <c r="K489" s="27" t="s">
        <v>32</v>
      </c>
      <c r="L489" s="82">
        <f>C543++C476+C508+C520+C460+C465+C471</f>
        <v>40.099999999999994</v>
      </c>
      <c r="P489" s="87"/>
      <c r="Q489" s="87"/>
      <c r="R489" s="87"/>
      <c r="S489" s="87"/>
      <c r="T489" s="87"/>
      <c r="U489" s="87"/>
      <c r="V489" s="87"/>
      <c r="W489" s="87"/>
      <c r="X489" s="87"/>
      <c r="Y489" s="87"/>
      <c r="Z489" s="87"/>
      <c r="AA489" s="87"/>
      <c r="AB489" s="87"/>
      <c r="AC489" s="87"/>
      <c r="AD489" s="87"/>
      <c r="AE489" s="87"/>
      <c r="AF489" s="87"/>
      <c r="AG489" s="87"/>
      <c r="AH489" s="87"/>
    </row>
    <row r="490" spans="1:34" ht="28.5" customHeight="1">
      <c r="A490" s="53" t="s">
        <v>147</v>
      </c>
      <c r="B490" s="57">
        <f>C490*1.25</f>
        <v>66.25</v>
      </c>
      <c r="C490" s="58">
        <v>53</v>
      </c>
      <c r="D490" s="58"/>
      <c r="E490" s="38"/>
      <c r="F490" s="38"/>
      <c r="G490" s="38"/>
      <c r="H490" s="57"/>
      <c r="I490" s="309"/>
      <c r="J490" s="9"/>
      <c r="K490" s="27" t="s">
        <v>23</v>
      </c>
      <c r="L490" s="82">
        <f>+C495+C463+B523</f>
        <v>10.5</v>
      </c>
      <c r="P490" s="87"/>
      <c r="Q490" s="87"/>
      <c r="R490" s="87"/>
      <c r="S490" s="87"/>
      <c r="T490" s="87"/>
      <c r="U490" s="87"/>
      <c r="V490" s="87"/>
      <c r="W490" s="87"/>
      <c r="X490" s="87"/>
      <c r="Y490" s="87"/>
      <c r="Z490" s="87"/>
      <c r="AA490" s="87"/>
      <c r="AB490" s="87"/>
      <c r="AC490" s="87"/>
      <c r="AD490" s="87"/>
      <c r="AE490" s="87"/>
      <c r="AF490" s="87"/>
      <c r="AG490" s="87"/>
      <c r="AH490" s="87"/>
    </row>
    <row r="491" spans="1:34" ht="30" customHeight="1">
      <c r="A491" s="59" t="s">
        <v>43</v>
      </c>
      <c r="B491" s="38">
        <f>C491*1.33</f>
        <v>70.49000000000001</v>
      </c>
      <c r="C491" s="58">
        <v>53</v>
      </c>
      <c r="D491" s="58"/>
      <c r="E491" s="38"/>
      <c r="F491" s="38"/>
      <c r="G491" s="38"/>
      <c r="H491" s="57"/>
      <c r="I491" s="309"/>
      <c r="J491" s="9"/>
      <c r="K491" s="28" t="s">
        <v>33</v>
      </c>
      <c r="L491" s="82">
        <f>C521</f>
        <v>5</v>
      </c>
      <c r="P491" s="87"/>
      <c r="Q491" s="87"/>
      <c r="R491" s="87"/>
      <c r="S491" s="87"/>
      <c r="T491" s="87"/>
      <c r="U491" s="87"/>
      <c r="V491" s="87"/>
      <c r="W491" s="87"/>
      <c r="X491" s="87"/>
      <c r="Y491" s="87"/>
      <c r="Z491" s="87"/>
      <c r="AA491" s="87"/>
      <c r="AB491" s="87"/>
      <c r="AC491" s="87"/>
      <c r="AD491" s="87"/>
      <c r="AE491" s="87"/>
      <c r="AF491" s="87"/>
      <c r="AG491" s="87"/>
      <c r="AH491" s="87"/>
    </row>
    <row r="492" spans="1:34" ht="30" customHeight="1">
      <c r="A492" s="59" t="s">
        <v>148</v>
      </c>
      <c r="B492" s="38"/>
      <c r="C492" s="58">
        <v>50</v>
      </c>
      <c r="D492" s="58"/>
      <c r="E492" s="38"/>
      <c r="F492" s="38"/>
      <c r="G492" s="38"/>
      <c r="H492" s="57"/>
      <c r="I492" s="309"/>
      <c r="J492" s="9"/>
      <c r="K492" s="28" t="s">
        <v>78</v>
      </c>
      <c r="P492" s="87"/>
      <c r="Q492" s="87"/>
      <c r="R492" s="87"/>
      <c r="S492" s="87"/>
      <c r="T492" s="87"/>
      <c r="U492" s="87"/>
      <c r="V492" s="87"/>
      <c r="W492" s="87"/>
      <c r="X492" s="87"/>
      <c r="Y492" s="87"/>
      <c r="Z492" s="87"/>
      <c r="AA492" s="87"/>
      <c r="AB492" s="87"/>
      <c r="AC492" s="87"/>
      <c r="AD492" s="87"/>
      <c r="AE492" s="87"/>
      <c r="AF492" s="87"/>
      <c r="AG492" s="87"/>
      <c r="AH492" s="87"/>
    </row>
    <row r="493" spans="1:34" ht="30" customHeight="1">
      <c r="A493" s="89" t="s">
        <v>522</v>
      </c>
      <c r="B493" s="45">
        <f>C493*1.54</f>
        <v>38.5</v>
      </c>
      <c r="C493" s="45">
        <v>25</v>
      </c>
      <c r="D493" s="218"/>
      <c r="E493" s="50"/>
      <c r="F493" s="50"/>
      <c r="G493" s="50"/>
      <c r="H493" s="46"/>
      <c r="I493" s="298"/>
      <c r="J493" s="9"/>
      <c r="K493" s="264" t="s">
        <v>193</v>
      </c>
      <c r="P493" s="87"/>
      <c r="Q493" s="87"/>
      <c r="R493" s="87"/>
      <c r="S493" s="87"/>
      <c r="T493" s="87"/>
      <c r="U493" s="87"/>
      <c r="V493" s="87"/>
      <c r="W493" s="87"/>
      <c r="X493" s="87"/>
      <c r="Y493" s="87"/>
      <c r="Z493" s="87"/>
      <c r="AA493" s="87"/>
      <c r="AB493" s="87"/>
      <c r="AC493" s="87"/>
      <c r="AD493" s="87"/>
      <c r="AE493" s="87"/>
      <c r="AF493" s="87"/>
      <c r="AG493" s="87"/>
      <c r="AH493" s="87"/>
    </row>
    <row r="494" spans="1:10" ht="30" customHeight="1">
      <c r="A494" s="59" t="s">
        <v>376</v>
      </c>
      <c r="B494" s="24">
        <f>C494*1.43</f>
        <v>31.459999999999997</v>
      </c>
      <c r="C494" s="24">
        <v>22</v>
      </c>
      <c r="D494" s="599"/>
      <c r="E494" s="26"/>
      <c r="F494" s="23"/>
      <c r="G494" s="600"/>
      <c r="H494" s="601"/>
      <c r="I494" s="300"/>
      <c r="J494" s="9"/>
    </row>
    <row r="495" spans="1:10" ht="30" customHeight="1">
      <c r="A495" s="53" t="s">
        <v>44</v>
      </c>
      <c r="B495" s="23">
        <v>5</v>
      </c>
      <c r="C495" s="23">
        <v>5</v>
      </c>
      <c r="D495" s="599"/>
      <c r="E495" s="32"/>
      <c r="F495" s="21"/>
      <c r="G495" s="21"/>
      <c r="H495" s="238"/>
      <c r="I495" s="300"/>
      <c r="J495" s="9"/>
    </row>
    <row r="496" spans="1:10" ht="30" customHeight="1">
      <c r="A496" s="397" t="s">
        <v>375</v>
      </c>
      <c r="B496" s="602"/>
      <c r="C496" s="602"/>
      <c r="D496" s="60" t="s">
        <v>206</v>
      </c>
      <c r="E496" s="632">
        <v>4.7</v>
      </c>
      <c r="F496" s="632">
        <v>5.2</v>
      </c>
      <c r="G496" s="632">
        <v>14.4</v>
      </c>
      <c r="H496" s="238">
        <f>G496*4+F496*9+E496*4</f>
        <v>123.2</v>
      </c>
      <c r="I496" s="300" t="s">
        <v>346</v>
      </c>
      <c r="J496" s="9"/>
    </row>
    <row r="497" spans="1:21" s="40" customFormat="1" ht="30" customHeight="1">
      <c r="A497" s="171" t="s">
        <v>45</v>
      </c>
      <c r="B497" s="126">
        <f>C497*1.36</f>
        <v>21.76</v>
      </c>
      <c r="C497" s="401">
        <v>16</v>
      </c>
      <c r="D497" s="398"/>
      <c r="E497" s="603"/>
      <c r="F497" s="603"/>
      <c r="G497" s="603"/>
      <c r="H497" s="604"/>
      <c r="I497" s="603"/>
      <c r="J497" s="9"/>
      <c r="M497" s="80"/>
      <c r="N497" s="80"/>
      <c r="O497" s="80"/>
      <c r="P497" s="80"/>
      <c r="Q497" s="80"/>
      <c r="R497" s="80"/>
      <c r="S497" s="80"/>
      <c r="T497" s="80"/>
      <c r="U497" s="80"/>
    </row>
    <row r="498" spans="1:10" ht="30" customHeight="1">
      <c r="A498" s="171" t="s">
        <v>46</v>
      </c>
      <c r="B498" s="126">
        <f>C498*1.18</f>
        <v>18.88</v>
      </c>
      <c r="C498" s="401">
        <v>16</v>
      </c>
      <c r="D498" s="398"/>
      <c r="E498" s="603"/>
      <c r="F498" s="603"/>
      <c r="G498" s="603"/>
      <c r="H498" s="604"/>
      <c r="I498" s="603"/>
      <c r="J498" s="9"/>
    </row>
    <row r="499" spans="1:21" s="40" customFormat="1" ht="30" customHeight="1">
      <c r="A499" s="115" t="s">
        <v>47</v>
      </c>
      <c r="B499" s="52">
        <f>C499*1.33</f>
        <v>99.75</v>
      </c>
      <c r="C499" s="33">
        <v>75</v>
      </c>
      <c r="D499" s="219"/>
      <c r="E499" s="226"/>
      <c r="F499" s="226"/>
      <c r="G499" s="226"/>
      <c r="H499" s="133"/>
      <c r="I499" s="226"/>
      <c r="J499" s="9"/>
      <c r="M499" s="80"/>
      <c r="N499" s="80"/>
      <c r="O499" s="80"/>
      <c r="P499" s="80"/>
      <c r="Q499" s="80"/>
      <c r="R499" s="80"/>
      <c r="S499" s="80"/>
      <c r="T499" s="80"/>
      <c r="U499" s="80"/>
    </row>
    <row r="500" spans="1:10" ht="30" customHeight="1">
      <c r="A500" s="115" t="s">
        <v>48</v>
      </c>
      <c r="B500" s="52">
        <f>C500*1.43</f>
        <v>107.25</v>
      </c>
      <c r="C500" s="33">
        <v>75</v>
      </c>
      <c r="D500" s="219"/>
      <c r="E500" s="226"/>
      <c r="F500" s="226"/>
      <c r="G500" s="226"/>
      <c r="H500" s="133"/>
      <c r="I500" s="226"/>
      <c r="J500" s="9"/>
    </row>
    <row r="501" spans="1:10" ht="30" customHeight="1">
      <c r="A501" s="48" t="s">
        <v>49</v>
      </c>
      <c r="B501" s="52">
        <f>C501*1.54</f>
        <v>115.5</v>
      </c>
      <c r="C501" s="33">
        <v>75</v>
      </c>
      <c r="D501" s="219"/>
      <c r="E501" s="226"/>
      <c r="F501" s="226"/>
      <c r="G501" s="226"/>
      <c r="H501" s="133"/>
      <c r="I501" s="226"/>
      <c r="J501" s="9"/>
    </row>
    <row r="502" spans="1:21" ht="30" customHeight="1">
      <c r="A502" s="20" t="s">
        <v>50</v>
      </c>
      <c r="B502" s="52">
        <f>C502*1.67</f>
        <v>125.25</v>
      </c>
      <c r="C502" s="33">
        <v>75</v>
      </c>
      <c r="D502" s="219"/>
      <c r="E502" s="226"/>
      <c r="F502" s="226"/>
      <c r="G502" s="226"/>
      <c r="H502" s="133"/>
      <c r="I502" s="226"/>
      <c r="J502" s="9"/>
      <c r="N502" s="40"/>
      <c r="O502" s="40"/>
      <c r="P502" s="40"/>
      <c r="Q502" s="40"/>
      <c r="R502" s="40"/>
      <c r="S502" s="40"/>
      <c r="T502" s="40"/>
      <c r="U502" s="40"/>
    </row>
    <row r="503" spans="1:10" ht="30" customHeight="1">
      <c r="A503" s="102" t="s">
        <v>347</v>
      </c>
      <c r="B503" s="33">
        <v>5</v>
      </c>
      <c r="C503" s="33">
        <v>5</v>
      </c>
      <c r="D503" s="22"/>
      <c r="E503" s="32"/>
      <c r="F503" s="32"/>
      <c r="G503" s="432"/>
      <c r="H503" s="605"/>
      <c r="I503" s="302"/>
      <c r="J503" s="9"/>
    </row>
    <row r="504" spans="1:21" ht="30" customHeight="1">
      <c r="A504" s="115" t="s">
        <v>51</v>
      </c>
      <c r="B504" s="26">
        <f>C504*1.19</f>
        <v>5.949999999999999</v>
      </c>
      <c r="C504" s="24">
        <v>5</v>
      </c>
      <c r="D504" s="398"/>
      <c r="E504" s="603"/>
      <c r="F504" s="603"/>
      <c r="G504" s="603"/>
      <c r="H504" s="604"/>
      <c r="I504" s="603"/>
      <c r="J504" s="9"/>
      <c r="N504" s="40"/>
      <c r="O504" s="40"/>
      <c r="P504" s="40"/>
      <c r="Q504" s="40"/>
      <c r="R504" s="40"/>
      <c r="S504" s="40"/>
      <c r="T504" s="40"/>
      <c r="U504" s="40"/>
    </row>
    <row r="505" spans="1:10" ht="30" customHeight="1">
      <c r="A505" s="115" t="s">
        <v>112</v>
      </c>
      <c r="B505" s="270">
        <f>C505*1.25</f>
        <v>12.5</v>
      </c>
      <c r="C505" s="24">
        <v>10</v>
      </c>
      <c r="D505" s="398"/>
      <c r="E505" s="603"/>
      <c r="F505" s="603"/>
      <c r="G505" s="603"/>
      <c r="H505" s="604"/>
      <c r="I505" s="603"/>
      <c r="J505" s="9"/>
    </row>
    <row r="506" spans="1:10" ht="30" customHeight="1">
      <c r="A506" s="115" t="s">
        <v>43</v>
      </c>
      <c r="B506" s="270">
        <f>C506*1.33</f>
        <v>13.3</v>
      </c>
      <c r="C506" s="24">
        <v>10</v>
      </c>
      <c r="D506" s="398"/>
      <c r="E506" s="603"/>
      <c r="F506" s="603"/>
      <c r="G506" s="603"/>
      <c r="H506" s="604"/>
      <c r="I506" s="603"/>
      <c r="J506" s="9"/>
    </row>
    <row r="507" spans="1:10" ht="30" customHeight="1">
      <c r="A507" s="115" t="s">
        <v>443</v>
      </c>
      <c r="B507" s="24">
        <f>C507*1.82</f>
        <v>27.3</v>
      </c>
      <c r="C507" s="33">
        <v>15</v>
      </c>
      <c r="D507" s="22"/>
      <c r="E507" s="32"/>
      <c r="F507" s="32"/>
      <c r="G507" s="432"/>
      <c r="H507" s="605"/>
      <c r="I507" s="302"/>
      <c r="J507" s="9"/>
    </row>
    <row r="508" spans="1:10" ht="30" customHeight="1">
      <c r="A508" s="53" t="s">
        <v>70</v>
      </c>
      <c r="B508" s="45">
        <v>5</v>
      </c>
      <c r="C508" s="45">
        <v>5</v>
      </c>
      <c r="D508" s="606"/>
      <c r="E508" s="607"/>
      <c r="F508" s="607"/>
      <c r="G508" s="607"/>
      <c r="H508" s="608"/>
      <c r="I508" s="607"/>
      <c r="J508" s="36"/>
    </row>
    <row r="509" spans="1:10" ht="30" customHeight="1">
      <c r="A509" s="20" t="s">
        <v>52</v>
      </c>
      <c r="B509" s="22">
        <v>5</v>
      </c>
      <c r="C509" s="22">
        <v>5</v>
      </c>
      <c r="D509" s="22"/>
      <c r="E509" s="32"/>
      <c r="F509" s="32"/>
      <c r="G509" s="432"/>
      <c r="H509" s="605"/>
      <c r="I509" s="302"/>
      <c r="J509" s="9"/>
    </row>
    <row r="510" spans="1:10" ht="30" customHeight="1">
      <c r="A510" s="671" t="s">
        <v>533</v>
      </c>
      <c r="B510" s="671"/>
      <c r="C510" s="671"/>
      <c r="D510" s="1">
        <v>100</v>
      </c>
      <c r="E510" s="2">
        <v>13.5</v>
      </c>
      <c r="F510" s="2">
        <v>10.249999999999998</v>
      </c>
      <c r="G510" s="2">
        <v>9</v>
      </c>
      <c r="H510" s="3">
        <f>G510*4+F510*9+E510*4</f>
        <v>182.25</v>
      </c>
      <c r="I510" s="297" t="s">
        <v>523</v>
      </c>
      <c r="J510" s="36"/>
    </row>
    <row r="511" spans="1:10" ht="30" customHeight="1">
      <c r="A511" s="54" t="s">
        <v>524</v>
      </c>
      <c r="B511" s="37">
        <f>C511*1.5</f>
        <v>63</v>
      </c>
      <c r="C511" s="26">
        <v>42</v>
      </c>
      <c r="D511" s="23"/>
      <c r="E511" s="32"/>
      <c r="F511" s="32"/>
      <c r="G511" s="32"/>
      <c r="H511" s="32"/>
      <c r="I511" s="449"/>
      <c r="J511" s="9"/>
    </row>
    <row r="512" spans="1:10" ht="30" customHeight="1">
      <c r="A512" s="54" t="s">
        <v>394</v>
      </c>
      <c r="B512" s="37">
        <f>C512*1.71</f>
        <v>71.82</v>
      </c>
      <c r="C512" s="26">
        <v>42</v>
      </c>
      <c r="D512" s="23"/>
      <c r="E512" s="32"/>
      <c r="F512" s="32"/>
      <c r="G512" s="32"/>
      <c r="H512" s="32"/>
      <c r="I512" s="449"/>
      <c r="J512" s="9"/>
    </row>
    <row r="513" spans="1:10" ht="30" customHeight="1">
      <c r="A513" s="54" t="s">
        <v>480</v>
      </c>
      <c r="B513" s="37">
        <f>C513*1.82</f>
        <v>76.44</v>
      </c>
      <c r="C513" s="26">
        <v>42</v>
      </c>
      <c r="D513" s="23"/>
      <c r="E513" s="32"/>
      <c r="F513" s="32"/>
      <c r="G513" s="32"/>
      <c r="H513" s="23"/>
      <c r="I513" s="466"/>
      <c r="J513" s="9"/>
    </row>
    <row r="514" spans="1:13" ht="30" customHeight="1">
      <c r="A514" s="54" t="s">
        <v>389</v>
      </c>
      <c r="B514" s="37">
        <f>C514*1.35</f>
        <v>56.7</v>
      </c>
      <c r="C514" s="26">
        <v>42</v>
      </c>
      <c r="D514" s="23"/>
      <c r="E514" s="32"/>
      <c r="F514" s="32"/>
      <c r="G514" s="32"/>
      <c r="H514" s="23"/>
      <c r="I514" s="466"/>
      <c r="J514" s="9"/>
      <c r="M514" s="40"/>
    </row>
    <row r="515" spans="1:10" ht="30" customHeight="1">
      <c r="A515" s="54" t="s">
        <v>429</v>
      </c>
      <c r="B515" s="37">
        <f>C515*1.32</f>
        <v>55.440000000000005</v>
      </c>
      <c r="C515" s="26">
        <v>42</v>
      </c>
      <c r="D515" s="23"/>
      <c r="E515" s="32"/>
      <c r="F515" s="32"/>
      <c r="G515" s="32"/>
      <c r="H515" s="23"/>
      <c r="I515" s="466"/>
      <c r="J515" s="9"/>
    </row>
    <row r="516" spans="1:21" s="95" customFormat="1" ht="30" customHeight="1">
      <c r="A516" s="59" t="s">
        <v>42</v>
      </c>
      <c r="B516" s="45">
        <v>7</v>
      </c>
      <c r="C516" s="45">
        <v>7</v>
      </c>
      <c r="D516" s="23"/>
      <c r="E516" s="32"/>
      <c r="F516" s="32"/>
      <c r="G516" s="32"/>
      <c r="H516" s="23"/>
      <c r="I516" s="466"/>
      <c r="J516" s="9"/>
      <c r="M516" s="80"/>
      <c r="N516" s="80"/>
      <c r="O516" s="80"/>
      <c r="P516" s="80"/>
      <c r="Q516" s="80"/>
      <c r="R516" s="80"/>
      <c r="S516" s="80"/>
      <c r="T516" s="80"/>
      <c r="U516" s="80"/>
    </row>
    <row r="517" spans="1:21" s="95" customFormat="1" ht="30" customHeight="1">
      <c r="A517" s="20" t="s">
        <v>63</v>
      </c>
      <c r="B517" s="23">
        <v>7</v>
      </c>
      <c r="C517" s="45">
        <v>7</v>
      </c>
      <c r="D517" s="23"/>
      <c r="E517" s="32"/>
      <c r="F517" s="43"/>
      <c r="G517" s="43"/>
      <c r="H517" s="26"/>
      <c r="I517" s="425"/>
      <c r="J517" s="9"/>
      <c r="M517" s="80"/>
      <c r="N517" s="80"/>
      <c r="O517" s="80"/>
      <c r="P517" s="80"/>
      <c r="Q517" s="80"/>
      <c r="R517" s="80"/>
      <c r="S517" s="80"/>
      <c r="T517" s="80"/>
      <c r="U517" s="80"/>
    </row>
    <row r="518" spans="1:10" ht="30" customHeight="1">
      <c r="A518" s="20" t="s">
        <v>51</v>
      </c>
      <c r="B518" s="26">
        <f>C518*1.19</f>
        <v>10.709999999999999</v>
      </c>
      <c r="C518" s="26">
        <v>9</v>
      </c>
      <c r="D518" s="23"/>
      <c r="E518" s="32"/>
      <c r="F518" s="43"/>
      <c r="G518" s="43"/>
      <c r="H518" s="26"/>
      <c r="I518" s="425"/>
      <c r="J518" s="9"/>
    </row>
    <row r="519" spans="1:10" ht="30" customHeight="1">
      <c r="A519" s="20" t="s">
        <v>525</v>
      </c>
      <c r="B519" s="43">
        <f>C519*1.28</f>
        <v>1.28</v>
      </c>
      <c r="C519" s="43">
        <v>1</v>
      </c>
      <c r="D519" s="32"/>
      <c r="E519" s="32"/>
      <c r="F519" s="43"/>
      <c r="G519" s="43"/>
      <c r="H519" s="26"/>
      <c r="I519" s="425"/>
      <c r="J519" s="9"/>
    </row>
    <row r="520" spans="1:10" ht="30" customHeight="1">
      <c r="A520" s="20" t="s">
        <v>70</v>
      </c>
      <c r="B520" s="26">
        <v>10</v>
      </c>
      <c r="C520" s="26">
        <v>10</v>
      </c>
      <c r="D520" s="23"/>
      <c r="E520" s="32"/>
      <c r="F520" s="43"/>
      <c r="G520" s="43"/>
      <c r="H520" s="22"/>
      <c r="I520" s="320"/>
      <c r="J520" s="9"/>
    </row>
    <row r="521" spans="1:21" ht="30" customHeight="1">
      <c r="A521" s="20" t="s">
        <v>489</v>
      </c>
      <c r="B521" s="26">
        <v>5</v>
      </c>
      <c r="C521" s="26">
        <v>5</v>
      </c>
      <c r="D521" s="23"/>
      <c r="E521" s="32"/>
      <c r="F521" s="43"/>
      <c r="G521" s="43"/>
      <c r="H521" s="22"/>
      <c r="I521" s="320"/>
      <c r="J521" s="9"/>
      <c r="O521" s="95"/>
      <c r="P521" s="95"/>
      <c r="Q521" s="95"/>
      <c r="R521" s="95"/>
      <c r="S521" s="95"/>
      <c r="T521" s="95"/>
      <c r="U521" s="95"/>
    </row>
    <row r="522" spans="1:21" ht="30" customHeight="1">
      <c r="A522" s="59" t="s">
        <v>54</v>
      </c>
      <c r="B522" s="23">
        <v>8</v>
      </c>
      <c r="C522" s="23">
        <v>8</v>
      </c>
      <c r="D522" s="23"/>
      <c r="E522" s="32"/>
      <c r="F522" s="32"/>
      <c r="G522" s="32"/>
      <c r="H522" s="23"/>
      <c r="I522" s="466"/>
      <c r="J522" s="9"/>
      <c r="O522" s="95"/>
      <c r="P522" s="95"/>
      <c r="Q522" s="95"/>
      <c r="R522" s="151"/>
      <c r="T522" s="95"/>
      <c r="U522" s="95"/>
    </row>
    <row r="523" spans="1:10" ht="30" customHeight="1">
      <c r="A523" s="59" t="s">
        <v>117</v>
      </c>
      <c r="B523" s="23">
        <v>2</v>
      </c>
      <c r="C523" s="23">
        <v>2</v>
      </c>
      <c r="D523" s="23"/>
      <c r="E523" s="32"/>
      <c r="F523" s="32"/>
      <c r="G523" s="32"/>
      <c r="H523" s="32"/>
      <c r="I523" s="449"/>
      <c r="J523" s="9"/>
    </row>
    <row r="524" spans="1:10" ht="30" customHeight="1">
      <c r="A524" s="692" t="s">
        <v>95</v>
      </c>
      <c r="B524" s="692"/>
      <c r="C524" s="692"/>
      <c r="D524" s="692"/>
      <c r="E524" s="692"/>
      <c r="F524" s="692"/>
      <c r="G524" s="692"/>
      <c r="H524" s="692"/>
      <c r="I524" s="692"/>
      <c r="J524" s="9"/>
    </row>
    <row r="525" spans="1:10" ht="31.5" customHeight="1">
      <c r="A525" s="671" t="s">
        <v>598</v>
      </c>
      <c r="B525" s="671"/>
      <c r="C525" s="671"/>
      <c r="D525" s="632">
        <v>120</v>
      </c>
      <c r="E525" s="21">
        <v>18.2</v>
      </c>
      <c r="F525" s="21">
        <v>13.5</v>
      </c>
      <c r="G525" s="21">
        <v>7.2</v>
      </c>
      <c r="H525" s="419">
        <f>E525*4+F525*9+G525*4</f>
        <v>223.10000000000002</v>
      </c>
      <c r="I525" s="300" t="s">
        <v>615</v>
      </c>
      <c r="J525" s="9"/>
    </row>
    <row r="526" spans="1:10" ht="31.5" customHeight="1">
      <c r="A526" s="54" t="s">
        <v>589</v>
      </c>
      <c r="B526" s="159">
        <f>C526*1.43</f>
        <v>114.39999999999999</v>
      </c>
      <c r="C526" s="49">
        <v>80</v>
      </c>
      <c r="D526" s="26"/>
      <c r="E526" s="43"/>
      <c r="F526" s="43"/>
      <c r="G526" s="43"/>
      <c r="H526" s="43"/>
      <c r="I526" s="639"/>
      <c r="J526" s="9"/>
    </row>
    <row r="527" spans="1:10" ht="31.5" customHeight="1">
      <c r="A527" s="54" t="s">
        <v>590</v>
      </c>
      <c r="B527" s="159">
        <f>C527*1.72</f>
        <v>137.6</v>
      </c>
      <c r="C527" s="49">
        <v>80</v>
      </c>
      <c r="D527" s="26"/>
      <c r="E527" s="43"/>
      <c r="F527" s="43"/>
      <c r="G527" s="43"/>
      <c r="H527" s="43"/>
      <c r="I527" s="639"/>
      <c r="J527" s="9"/>
    </row>
    <row r="528" spans="1:10" ht="31.5" customHeight="1">
      <c r="A528" s="54" t="s">
        <v>591</v>
      </c>
      <c r="B528" s="159">
        <f>C528*1.35</f>
        <v>108</v>
      </c>
      <c r="C528" s="49">
        <v>80</v>
      </c>
      <c r="D528" s="26"/>
      <c r="E528" s="43"/>
      <c r="F528" s="2"/>
      <c r="G528" s="2"/>
      <c r="H528" s="3"/>
      <c r="I528" s="444"/>
      <c r="J528" s="9"/>
    </row>
    <row r="529" spans="1:10" ht="31.5" customHeight="1">
      <c r="A529" s="54" t="s">
        <v>429</v>
      </c>
      <c r="B529" s="37">
        <f>C529*1.32</f>
        <v>105.60000000000001</v>
      </c>
      <c r="C529" s="26">
        <f>C528</f>
        <v>80</v>
      </c>
      <c r="D529" s="23"/>
      <c r="E529" s="32"/>
      <c r="F529" s="32"/>
      <c r="G529" s="32"/>
      <c r="H529" s="23"/>
      <c r="I529" s="466"/>
      <c r="J529" s="9"/>
    </row>
    <row r="530" spans="1:10" ht="31.5" customHeight="1">
      <c r="A530" s="54" t="s">
        <v>328</v>
      </c>
      <c r="B530" s="159">
        <f>C530*1.17</f>
        <v>53.81999999999999</v>
      </c>
      <c r="C530" s="49">
        <v>46</v>
      </c>
      <c r="D530" s="26"/>
      <c r="E530" s="43"/>
      <c r="F530" s="32"/>
      <c r="G530" s="32"/>
      <c r="H530" s="45"/>
      <c r="I530" s="640"/>
      <c r="J530" s="9"/>
    </row>
    <row r="531" spans="1:10" ht="31.5" customHeight="1">
      <c r="A531" s="25" t="s">
        <v>51</v>
      </c>
      <c r="B531" s="49">
        <f>C531*1.19</f>
        <v>13.09</v>
      </c>
      <c r="C531" s="49">
        <v>11</v>
      </c>
      <c r="D531" s="26"/>
      <c r="E531" s="43"/>
      <c r="F531" s="641"/>
      <c r="G531" s="23"/>
      <c r="H531" s="23"/>
      <c r="I531" s="642"/>
      <c r="J531" s="9"/>
    </row>
    <row r="532" spans="1:21" s="40" customFormat="1" ht="31.5" customHeight="1">
      <c r="A532" s="25" t="s">
        <v>63</v>
      </c>
      <c r="B532" s="49">
        <v>7.4</v>
      </c>
      <c r="C532" s="49">
        <v>7.4</v>
      </c>
      <c r="D532" s="26"/>
      <c r="E532" s="43"/>
      <c r="F532" s="20"/>
      <c r="G532" s="26"/>
      <c r="H532" s="26"/>
      <c r="I532" s="643"/>
      <c r="J532" s="9"/>
      <c r="M532" s="80"/>
      <c r="P532" s="80"/>
      <c r="Q532" s="80"/>
      <c r="R532" s="80"/>
      <c r="S532" s="80"/>
      <c r="T532" s="80"/>
      <c r="U532" s="80"/>
    </row>
    <row r="533" spans="1:10" ht="31.5" customHeight="1">
      <c r="A533" s="25" t="s">
        <v>489</v>
      </c>
      <c r="B533" s="49">
        <v>11</v>
      </c>
      <c r="C533" s="49">
        <v>11</v>
      </c>
      <c r="D533" s="26"/>
      <c r="E533" s="43"/>
      <c r="F533" s="20"/>
      <c r="G533" s="26"/>
      <c r="H533" s="26"/>
      <c r="I533" s="642"/>
      <c r="J533" s="9"/>
    </row>
    <row r="534" spans="1:10" ht="31.5" customHeight="1">
      <c r="A534" s="25" t="s">
        <v>54</v>
      </c>
      <c r="B534" s="49">
        <v>6</v>
      </c>
      <c r="C534" s="49">
        <v>6</v>
      </c>
      <c r="D534" s="26"/>
      <c r="E534" s="32"/>
      <c r="F534" s="32"/>
      <c r="G534" s="32"/>
      <c r="H534" s="45"/>
      <c r="I534" s="644"/>
      <c r="J534" s="9"/>
    </row>
    <row r="535" spans="1:22" ht="31.5" customHeight="1">
      <c r="A535" s="25" t="s">
        <v>44</v>
      </c>
      <c r="B535" s="49">
        <v>4</v>
      </c>
      <c r="C535" s="49">
        <v>4</v>
      </c>
      <c r="D535" s="26"/>
      <c r="E535" s="32"/>
      <c r="F535" s="32"/>
      <c r="G535" s="21"/>
      <c r="H535" s="238"/>
      <c r="I535" s="645"/>
      <c r="J535" s="9"/>
      <c r="N535" s="681"/>
      <c r="O535" s="681"/>
      <c r="P535" s="681"/>
      <c r="Q535" s="66"/>
      <c r="R535" s="633"/>
      <c r="S535" s="633"/>
      <c r="T535" s="633"/>
      <c r="U535" s="634"/>
      <c r="V535" s="633"/>
    </row>
    <row r="536" spans="1:22" ht="31.5" customHeight="1">
      <c r="A536" s="127" t="s">
        <v>250</v>
      </c>
      <c r="B536" s="127"/>
      <c r="C536" s="127"/>
      <c r="D536" s="1">
        <v>180</v>
      </c>
      <c r="E536" s="21">
        <v>1.44</v>
      </c>
      <c r="F536" s="21">
        <v>6.119999999999999</v>
      </c>
      <c r="G536" s="21">
        <v>25.92</v>
      </c>
      <c r="H536" s="419">
        <f>E536*4+F536*9+G536*4</f>
        <v>164.51999999999998</v>
      </c>
      <c r="I536" s="300" t="s">
        <v>251</v>
      </c>
      <c r="J536" s="9"/>
      <c r="N536" s="215"/>
      <c r="O536" s="78"/>
      <c r="P536" s="78"/>
      <c r="Q536" s="216"/>
      <c r="R536" s="129"/>
      <c r="S536" s="129"/>
      <c r="T536" s="129"/>
      <c r="U536" s="129"/>
      <c r="V536" s="129"/>
    </row>
    <row r="537" spans="1:22" ht="31.5" customHeight="1">
      <c r="A537" s="53" t="s">
        <v>47</v>
      </c>
      <c r="B537" s="45">
        <f>C537*1.33</f>
        <v>226.10000000000002</v>
      </c>
      <c r="C537" s="23">
        <v>170</v>
      </c>
      <c r="D537" s="632"/>
      <c r="E537" s="21"/>
      <c r="F537" s="21"/>
      <c r="G537" s="21"/>
      <c r="H537" s="238"/>
      <c r="I537" s="300"/>
      <c r="J537" s="9"/>
      <c r="K537" s="80" t="s">
        <v>16</v>
      </c>
      <c r="N537" s="215"/>
      <c r="O537" s="78"/>
      <c r="P537" s="216"/>
      <c r="Q537" s="216"/>
      <c r="R537" s="129"/>
      <c r="S537" s="129"/>
      <c r="T537" s="129"/>
      <c r="U537" s="78"/>
      <c r="V537" s="129"/>
    </row>
    <row r="538" spans="1:22" ht="31.5" customHeight="1">
      <c r="A538" s="115" t="s">
        <v>48</v>
      </c>
      <c r="B538" s="26">
        <f>C538*1.43</f>
        <v>243.1</v>
      </c>
      <c r="C538" s="22">
        <v>170</v>
      </c>
      <c r="D538" s="244"/>
      <c r="E538" s="277"/>
      <c r="F538" s="21"/>
      <c r="G538" s="277"/>
      <c r="H538" s="620"/>
      <c r="I538" s="300"/>
      <c r="J538" s="12"/>
      <c r="K538" s="27" t="s">
        <v>34</v>
      </c>
      <c r="L538" s="80">
        <f>D627</f>
        <v>40</v>
      </c>
      <c r="N538" s="346"/>
      <c r="O538" s="78"/>
      <c r="P538" s="78"/>
      <c r="Q538" s="216"/>
      <c r="R538" s="129"/>
      <c r="S538" s="129"/>
      <c r="T538" s="129"/>
      <c r="U538" s="78"/>
      <c r="V538" s="129"/>
    </row>
    <row r="539" spans="1:22" ht="31.5" customHeight="1">
      <c r="A539" s="115" t="s">
        <v>49</v>
      </c>
      <c r="B539" s="26">
        <f>C539*1.54</f>
        <v>261.8</v>
      </c>
      <c r="C539" s="22">
        <v>170</v>
      </c>
      <c r="D539" s="244"/>
      <c r="E539" s="277"/>
      <c r="F539" s="21"/>
      <c r="G539" s="277"/>
      <c r="H539" s="620"/>
      <c r="I539" s="300"/>
      <c r="J539" s="12"/>
      <c r="K539" s="28" t="s">
        <v>35</v>
      </c>
      <c r="L539" s="82">
        <f>D590++D629+C562</f>
        <v>110</v>
      </c>
      <c r="N539" s="215"/>
      <c r="O539" s="78"/>
      <c r="P539" s="78"/>
      <c r="Q539" s="216"/>
      <c r="R539" s="129"/>
      <c r="S539" s="403"/>
      <c r="T539" s="403"/>
      <c r="U539" s="404"/>
      <c r="V539" s="405"/>
    </row>
    <row r="540" spans="1:22" ht="31.5" customHeight="1">
      <c r="A540" s="20" t="s">
        <v>50</v>
      </c>
      <c r="B540" s="26">
        <f>C540*1.67</f>
        <v>283.9</v>
      </c>
      <c r="C540" s="22">
        <v>170</v>
      </c>
      <c r="D540" s="244"/>
      <c r="E540" s="277"/>
      <c r="F540" s="21"/>
      <c r="G540" s="277"/>
      <c r="H540" s="620"/>
      <c r="I540" s="300"/>
      <c r="J540" s="91"/>
      <c r="K540" s="28" t="s">
        <v>65</v>
      </c>
      <c r="L540" s="82"/>
      <c r="N540" s="215"/>
      <c r="O540" s="78"/>
      <c r="P540" s="78"/>
      <c r="Q540" s="216"/>
      <c r="R540" s="129"/>
      <c r="S540" s="129"/>
      <c r="T540" s="129"/>
      <c r="U540" s="78"/>
      <c r="V540" s="129"/>
    </row>
    <row r="541" spans="1:22" ht="31.5" customHeight="1">
      <c r="A541" s="20" t="s">
        <v>214</v>
      </c>
      <c r="B541" s="26">
        <v>30</v>
      </c>
      <c r="C541" s="22">
        <v>30</v>
      </c>
      <c r="D541" s="244"/>
      <c r="E541" s="277"/>
      <c r="F541" s="21"/>
      <c r="G541" s="277"/>
      <c r="H541" s="620"/>
      <c r="I541" s="300"/>
      <c r="J541" s="9"/>
      <c r="K541" s="29" t="s">
        <v>66</v>
      </c>
      <c r="L541" s="82">
        <f>+C566+C618</f>
        <v>108</v>
      </c>
      <c r="N541" s="215"/>
      <c r="O541" s="78"/>
      <c r="P541" s="78"/>
      <c r="Q541" s="216"/>
      <c r="R541" s="129"/>
      <c r="S541" s="129"/>
      <c r="T541" s="129"/>
      <c r="U541" s="78"/>
      <c r="V541" s="129"/>
    </row>
    <row r="542" spans="1:22" ht="31.5" customHeight="1">
      <c r="A542" s="53" t="s">
        <v>51</v>
      </c>
      <c r="B542" s="45">
        <f>C542*1.19</f>
        <v>21.419999999999998</v>
      </c>
      <c r="C542" s="23">
        <v>18</v>
      </c>
      <c r="D542" s="23"/>
      <c r="E542" s="451"/>
      <c r="F542" s="451"/>
      <c r="G542" s="451"/>
      <c r="H542" s="452"/>
      <c r="I542" s="44"/>
      <c r="J542" s="9"/>
      <c r="K542" s="29" t="s">
        <v>59</v>
      </c>
      <c r="L542" s="82"/>
      <c r="N542" s="215"/>
      <c r="O542" s="78"/>
      <c r="P542" s="78"/>
      <c r="Q542" s="216"/>
      <c r="R542" s="129"/>
      <c r="S542" s="129"/>
      <c r="T542" s="129"/>
      <c r="U542" s="78"/>
      <c r="V542" s="129"/>
    </row>
    <row r="543" spans="1:22" ht="31.5" customHeight="1">
      <c r="A543" s="53" t="s">
        <v>70</v>
      </c>
      <c r="B543" s="45">
        <v>6</v>
      </c>
      <c r="C543" s="45">
        <v>6</v>
      </c>
      <c r="D543" s="632"/>
      <c r="E543" s="21"/>
      <c r="F543" s="21"/>
      <c r="G543" s="21"/>
      <c r="H543" s="238"/>
      <c r="I543" s="300"/>
      <c r="J543" s="36"/>
      <c r="K543" s="28" t="s">
        <v>22</v>
      </c>
      <c r="L543" s="82">
        <f>+C604</f>
        <v>113</v>
      </c>
      <c r="N543" s="215"/>
      <c r="O543" s="78"/>
      <c r="P543" s="78"/>
      <c r="Q543" s="216"/>
      <c r="R543" s="129"/>
      <c r="S543" s="129"/>
      <c r="T543" s="129"/>
      <c r="U543" s="78"/>
      <c r="V543" s="129"/>
    </row>
    <row r="544" spans="1:22" ht="31.5" customHeight="1">
      <c r="A544" s="53" t="s">
        <v>338</v>
      </c>
      <c r="B544" s="23"/>
      <c r="C544" s="23">
        <v>12</v>
      </c>
      <c r="D544" s="23"/>
      <c r="E544" s="451"/>
      <c r="F544" s="621"/>
      <c r="G544" s="621"/>
      <c r="H544" s="452"/>
      <c r="I544" s="44"/>
      <c r="J544" s="9"/>
      <c r="K544" s="28" t="s">
        <v>24</v>
      </c>
      <c r="L544" s="82">
        <f>+C621++C610+C596+C594+C619+C622+C608</f>
        <v>157</v>
      </c>
      <c r="N544" s="215"/>
      <c r="O544" s="78"/>
      <c r="P544" s="78"/>
      <c r="Q544" s="216"/>
      <c r="R544" s="129"/>
      <c r="S544" s="129"/>
      <c r="T544" s="129"/>
      <c r="U544" s="78"/>
      <c r="V544" s="129"/>
    </row>
    <row r="545" spans="1:22" ht="31.5" customHeight="1">
      <c r="A545" s="701" t="s">
        <v>343</v>
      </c>
      <c r="B545" s="701"/>
      <c r="C545" s="701"/>
      <c r="D545" s="4">
        <v>200</v>
      </c>
      <c r="E545" s="222">
        <v>1</v>
      </c>
      <c r="F545" s="222">
        <v>0</v>
      </c>
      <c r="G545" s="222">
        <v>31.2</v>
      </c>
      <c r="H545" s="238">
        <f>G545*4+F545*9+E545*4</f>
        <v>128.8</v>
      </c>
      <c r="I545" s="302" t="s">
        <v>236</v>
      </c>
      <c r="J545" s="9"/>
      <c r="K545" s="28" t="s">
        <v>21</v>
      </c>
      <c r="L545" s="82">
        <f>D580+C624+C625</f>
        <v>141</v>
      </c>
      <c r="N545" s="139"/>
      <c r="O545" s="216"/>
      <c r="P545" s="78"/>
      <c r="Q545" s="216"/>
      <c r="R545" s="129"/>
      <c r="S545" s="129"/>
      <c r="T545" s="129"/>
      <c r="U545" s="78"/>
      <c r="V545" s="129"/>
    </row>
    <row r="546" spans="1:22" ht="31.5" customHeight="1">
      <c r="A546" s="20" t="s">
        <v>342</v>
      </c>
      <c r="B546" s="22">
        <v>25</v>
      </c>
      <c r="C546" s="22">
        <v>25</v>
      </c>
      <c r="D546" s="22"/>
      <c r="E546" s="43"/>
      <c r="F546" s="43"/>
      <c r="G546" s="43"/>
      <c r="H546" s="26"/>
      <c r="I546" s="43"/>
      <c r="J546" s="9"/>
      <c r="K546" s="28" t="s">
        <v>25</v>
      </c>
      <c r="L546" s="82"/>
      <c r="N546" s="215"/>
      <c r="O546" s="216"/>
      <c r="P546" s="78"/>
      <c r="Q546" s="216"/>
      <c r="R546" s="129"/>
      <c r="S546" s="129"/>
      <c r="T546" s="129"/>
      <c r="U546" s="129"/>
      <c r="V546" s="129"/>
    </row>
    <row r="547" spans="1:11" ht="31.5" customHeight="1">
      <c r="A547" s="20" t="s">
        <v>39</v>
      </c>
      <c r="B547" s="22">
        <v>15</v>
      </c>
      <c r="C547" s="22">
        <v>15</v>
      </c>
      <c r="D547" s="22"/>
      <c r="E547" s="43"/>
      <c r="F547" s="43"/>
      <c r="G547" s="43"/>
      <c r="H547" s="26"/>
      <c r="I547" s="43"/>
      <c r="J547" s="9"/>
      <c r="K547" s="28" t="s">
        <v>61</v>
      </c>
    </row>
    <row r="548" spans="1:12" ht="31.5" customHeight="1">
      <c r="A548" s="674" t="s">
        <v>34</v>
      </c>
      <c r="B548" s="674"/>
      <c r="C548" s="674"/>
      <c r="D548" s="1">
        <v>40</v>
      </c>
      <c r="E548" s="2">
        <v>1.88</v>
      </c>
      <c r="F548" s="2">
        <v>0.4</v>
      </c>
      <c r="G548" s="2">
        <v>17.48</v>
      </c>
      <c r="H548" s="3">
        <v>81.04</v>
      </c>
      <c r="I548" s="294"/>
      <c r="J548" s="9"/>
      <c r="K548" s="28" t="s">
        <v>20</v>
      </c>
      <c r="L548" s="82">
        <f>+C626+C570+C584</f>
        <v>23</v>
      </c>
    </row>
    <row r="549" spans="1:26" ht="31.5" customHeight="1">
      <c r="A549" s="675" t="s">
        <v>145</v>
      </c>
      <c r="B549" s="675"/>
      <c r="C549" s="675"/>
      <c r="D549" s="1">
        <v>40</v>
      </c>
      <c r="E549" s="2"/>
      <c r="F549" s="2"/>
      <c r="G549" s="2"/>
      <c r="H549" s="3"/>
      <c r="I549" s="294"/>
      <c r="J549" s="9"/>
      <c r="K549" s="28" t="s">
        <v>26</v>
      </c>
      <c r="L549" s="82">
        <f>C563</f>
        <v>30</v>
      </c>
      <c r="V549" s="83"/>
      <c r="W549" s="83"/>
      <c r="X549" s="83"/>
      <c r="Y549" s="83"/>
      <c r="Z549" s="83"/>
    </row>
    <row r="550" spans="1:12" ht="31.5" customHeight="1">
      <c r="A550" s="674" t="s">
        <v>74</v>
      </c>
      <c r="B550" s="674"/>
      <c r="C550" s="674"/>
      <c r="D550" s="3">
        <v>40</v>
      </c>
      <c r="E550" s="2">
        <v>2</v>
      </c>
      <c r="F550" s="2">
        <v>0.56</v>
      </c>
      <c r="G550" s="2">
        <v>16.2</v>
      </c>
      <c r="H550" s="3">
        <v>77.84</v>
      </c>
      <c r="I550" s="294"/>
      <c r="J550" s="9"/>
      <c r="K550" s="27" t="s">
        <v>79</v>
      </c>
      <c r="L550" s="82">
        <f>C583</f>
        <v>5</v>
      </c>
    </row>
    <row r="551" spans="1:12" ht="31.5" customHeight="1">
      <c r="A551" s="675" t="s">
        <v>72</v>
      </c>
      <c r="B551" s="675"/>
      <c r="C551" s="675"/>
      <c r="D551" s="1">
        <v>40</v>
      </c>
      <c r="E551" s="2"/>
      <c r="F551" s="2"/>
      <c r="G551" s="2"/>
      <c r="H551" s="3"/>
      <c r="I551" s="294"/>
      <c r="J551" s="9"/>
      <c r="K551" s="28" t="s">
        <v>27</v>
      </c>
      <c r="L551" s="81"/>
    </row>
    <row r="552" spans="1:34" ht="37.5" customHeight="1">
      <c r="A552" s="698" t="s">
        <v>202</v>
      </c>
      <c r="B552" s="698"/>
      <c r="C552" s="698"/>
      <c r="D552" s="267"/>
      <c r="E552" s="235">
        <f>E452+E488</f>
        <v>47.199999999999996</v>
      </c>
      <c r="F552" s="235">
        <f>F452+F488</f>
        <v>47.41</v>
      </c>
      <c r="G552" s="235">
        <f>G452+G488</f>
        <v>211.92000000000002</v>
      </c>
      <c r="H552" s="267">
        <f>H452+H488</f>
        <v>1462.3899999999999</v>
      </c>
      <c r="I552" s="302"/>
      <c r="J552" s="9"/>
      <c r="K552" s="27" t="s">
        <v>199</v>
      </c>
      <c r="L552" s="262"/>
      <c r="AB552" s="196"/>
      <c r="AC552" s="196"/>
      <c r="AD552" s="196"/>
      <c r="AE552" s="236"/>
      <c r="AF552" s="236"/>
      <c r="AG552" s="196"/>
      <c r="AH552" s="196"/>
    </row>
    <row r="553" spans="1:34" s="83" customFormat="1" ht="34.5" customHeight="1">
      <c r="A553" s="694" t="s">
        <v>304</v>
      </c>
      <c r="B553" s="695"/>
      <c r="C553" s="695"/>
      <c r="D553" s="695"/>
      <c r="E553" s="235">
        <f>(E552+E448+E363+E254+E164+E83)/6</f>
        <v>52.522962962962964</v>
      </c>
      <c r="F553" s="235">
        <f>(F552+F448+F363+F254+F164+F83)/6</f>
        <v>52.23314814814815</v>
      </c>
      <c r="G553" s="235">
        <f>(G552+G448+G363+G254+G164+G83)/6</f>
        <v>204.96703703703702</v>
      </c>
      <c r="H553" s="235">
        <f>(H552+H448+H363+H254+H164+H83)/6</f>
        <v>1496.2683333333332</v>
      </c>
      <c r="I553" s="696" t="s">
        <v>310</v>
      </c>
      <c r="J553" s="9"/>
      <c r="K553" s="28" t="s">
        <v>67</v>
      </c>
      <c r="L553" s="82">
        <f>C613</f>
        <v>79</v>
      </c>
      <c r="M553" s="80"/>
      <c r="N553" s="80"/>
      <c r="O553" s="80"/>
      <c r="P553" s="80"/>
      <c r="Q553" s="80"/>
      <c r="R553" s="80"/>
      <c r="S553" s="80"/>
      <c r="T553" s="80"/>
      <c r="U553" s="80"/>
      <c r="V553" s="80"/>
      <c r="W553" s="80"/>
      <c r="X553" s="80"/>
      <c r="Y553" s="80"/>
      <c r="Z553" s="80"/>
      <c r="AA553" s="80"/>
      <c r="AB553" s="237"/>
      <c r="AC553" s="237"/>
      <c r="AD553" s="237"/>
      <c r="AE553" s="237"/>
      <c r="AF553" s="237"/>
      <c r="AG553" s="237"/>
      <c r="AH553" s="237"/>
    </row>
    <row r="554" spans="1:34" ht="34.5" customHeight="1">
      <c r="A554" s="697" t="s">
        <v>305</v>
      </c>
      <c r="B554" s="695"/>
      <c r="C554" s="695"/>
      <c r="D554" s="695"/>
      <c r="E554" s="350" t="s">
        <v>306</v>
      </c>
      <c r="F554" s="350" t="s">
        <v>307</v>
      </c>
      <c r="G554" s="350" t="s">
        <v>308</v>
      </c>
      <c r="H554" s="350" t="s">
        <v>309</v>
      </c>
      <c r="I554" s="696"/>
      <c r="J554" s="9"/>
      <c r="K554" s="27" t="s">
        <v>200</v>
      </c>
      <c r="L554" s="263"/>
      <c r="S554" s="83"/>
      <c r="T554" s="83"/>
      <c r="U554" s="83"/>
      <c r="AB554" s="214"/>
      <c r="AC554" s="214"/>
      <c r="AD554" s="214"/>
      <c r="AE554" s="214"/>
      <c r="AF554" s="214"/>
      <c r="AG554" s="214"/>
      <c r="AH554" s="214"/>
    </row>
    <row r="555" spans="1:34" ht="34.5" customHeight="1">
      <c r="A555" s="694" t="s">
        <v>204</v>
      </c>
      <c r="B555" s="695"/>
      <c r="C555" s="695"/>
      <c r="D555" s="695"/>
      <c r="E555" s="235">
        <v>90</v>
      </c>
      <c r="F555" s="235">
        <v>92</v>
      </c>
      <c r="G555" s="235">
        <v>383</v>
      </c>
      <c r="H555" s="235">
        <v>2720</v>
      </c>
      <c r="I555" s="318"/>
      <c r="J555" s="9"/>
      <c r="K555" s="27" t="s">
        <v>62</v>
      </c>
      <c r="L555" s="82"/>
      <c r="AB555" s="214"/>
      <c r="AC555" s="214"/>
      <c r="AD555" s="214"/>
      <c r="AE555" s="214"/>
      <c r="AF555" s="214"/>
      <c r="AG555" s="214"/>
      <c r="AH555" s="214"/>
    </row>
    <row r="556" spans="1:34" ht="34.5" customHeight="1">
      <c r="A556" s="706" t="s">
        <v>399</v>
      </c>
      <c r="B556" s="706"/>
      <c r="C556" s="706"/>
      <c r="D556" s="706"/>
      <c r="E556" s="706"/>
      <c r="F556" s="706"/>
      <c r="G556" s="706"/>
      <c r="H556" s="707"/>
      <c r="I556" s="706"/>
      <c r="J556" s="9"/>
      <c r="K556" s="28" t="s">
        <v>28</v>
      </c>
      <c r="L556" s="82">
        <f>C602</f>
        <v>61</v>
      </c>
      <c r="M556" s="83"/>
      <c r="AB556" s="214"/>
      <c r="AC556" s="214"/>
      <c r="AD556" s="214"/>
      <c r="AE556" s="214"/>
      <c r="AF556" s="214"/>
      <c r="AG556" s="214"/>
      <c r="AH556" s="214"/>
    </row>
    <row r="557" spans="1:34" ht="30" customHeight="1">
      <c r="A557" s="706" t="s">
        <v>16</v>
      </c>
      <c r="B557" s="706"/>
      <c r="C557" s="706"/>
      <c r="D557" s="706"/>
      <c r="E557" s="706"/>
      <c r="F557" s="706"/>
      <c r="G557" s="706"/>
      <c r="H557" s="707"/>
      <c r="I557" s="706"/>
      <c r="J557" s="9"/>
      <c r="K557" s="30" t="s">
        <v>29</v>
      </c>
      <c r="L557" s="82">
        <f>C568+C585</f>
        <v>262</v>
      </c>
      <c r="AB557" s="237"/>
      <c r="AC557" s="237"/>
      <c r="AD557" s="237"/>
      <c r="AE557" s="237"/>
      <c r="AF557" s="237"/>
      <c r="AG557" s="237"/>
      <c r="AH557" s="237"/>
    </row>
    <row r="558" spans="1:34" ht="30" customHeight="1">
      <c r="A558" s="693" t="s">
        <v>1</v>
      </c>
      <c r="B558" s="676" t="s">
        <v>2</v>
      </c>
      <c r="C558" s="676" t="s">
        <v>3</v>
      </c>
      <c r="D558" s="676" t="s">
        <v>4</v>
      </c>
      <c r="E558" s="676"/>
      <c r="F558" s="676"/>
      <c r="G558" s="676"/>
      <c r="H558" s="676"/>
      <c r="I558" s="682" t="s">
        <v>201</v>
      </c>
      <c r="J558" s="9"/>
      <c r="K558" s="72" t="s">
        <v>85</v>
      </c>
      <c r="L558" s="82"/>
      <c r="O558" s="83"/>
      <c r="P558" s="83"/>
      <c r="Q558" s="83"/>
      <c r="R558" s="83"/>
      <c r="AB558" s="237"/>
      <c r="AC558" s="237"/>
      <c r="AD558" s="237"/>
      <c r="AE558" s="237"/>
      <c r="AF558" s="237"/>
      <c r="AG558" s="237"/>
      <c r="AH558" s="237"/>
    </row>
    <row r="559" spans="1:34" ht="30" customHeight="1">
      <c r="A559" s="693"/>
      <c r="B559" s="676"/>
      <c r="C559" s="676"/>
      <c r="D559" s="6" t="s">
        <v>5</v>
      </c>
      <c r="E559" s="62" t="s">
        <v>6</v>
      </c>
      <c r="F559" s="62" t="s">
        <v>7</v>
      </c>
      <c r="G559" s="62" t="s">
        <v>8</v>
      </c>
      <c r="H559" s="69" t="s">
        <v>9</v>
      </c>
      <c r="I559" s="682"/>
      <c r="J559" s="9"/>
      <c r="K559" s="27" t="s">
        <v>30</v>
      </c>
      <c r="L559" s="82"/>
      <c r="AB559" s="237"/>
      <c r="AC559" s="237"/>
      <c r="AD559" s="237"/>
      <c r="AE559" s="237"/>
      <c r="AF559" s="237"/>
      <c r="AG559" s="237"/>
      <c r="AH559" s="237"/>
    </row>
    <row r="560" spans="1:34" ht="30" customHeight="1">
      <c r="A560" s="690" t="s">
        <v>10</v>
      </c>
      <c r="B560" s="690"/>
      <c r="C560" s="690"/>
      <c r="D560" s="243">
        <f>60+D564+205++D580+D581</f>
        <v>605</v>
      </c>
      <c r="E560" s="71">
        <f>E561+E564+E565+E580+E581+E590</f>
        <v>20.2</v>
      </c>
      <c r="F560" s="71">
        <f>F561+F564+F565+F580+F581+F590</f>
        <v>18.43</v>
      </c>
      <c r="G560" s="71">
        <f>G561+G564+G565+G580+G581+G590</f>
        <v>92.55</v>
      </c>
      <c r="H560" s="265">
        <f>H561+H564+H565+H580+H581+H590</f>
        <v>616.8699999999999</v>
      </c>
      <c r="I560" s="293"/>
      <c r="J560" s="9"/>
      <c r="K560" s="27" t="s">
        <v>31</v>
      </c>
      <c r="L560" s="82"/>
      <c r="AB560" s="237"/>
      <c r="AC560" s="237"/>
      <c r="AD560" s="237"/>
      <c r="AE560" s="237"/>
      <c r="AF560" s="237"/>
      <c r="AG560" s="237"/>
      <c r="AH560" s="237"/>
    </row>
    <row r="561" spans="1:12" ht="30" customHeight="1">
      <c r="A561" s="675" t="s">
        <v>254</v>
      </c>
      <c r="B561" s="675"/>
      <c r="C561" s="675"/>
      <c r="D561" s="145" t="s">
        <v>566</v>
      </c>
      <c r="E561" s="2">
        <v>1.9</v>
      </c>
      <c r="F561" s="2">
        <v>0.5</v>
      </c>
      <c r="G561" s="2">
        <v>27.7</v>
      </c>
      <c r="H561" s="3">
        <f>E561*4+F561*9+G561*4</f>
        <v>122.89999999999999</v>
      </c>
      <c r="I561" s="320" t="s">
        <v>255</v>
      </c>
      <c r="J561" s="9"/>
      <c r="K561" s="28" t="s">
        <v>68</v>
      </c>
      <c r="L561" s="82"/>
    </row>
    <row r="562" spans="1:12" ht="30" customHeight="1">
      <c r="A562" s="100" t="s">
        <v>393</v>
      </c>
      <c r="B562" s="219">
        <v>30</v>
      </c>
      <c r="C562" s="219">
        <v>30</v>
      </c>
      <c r="D562" s="1"/>
      <c r="E562" s="2"/>
      <c r="F562" s="2"/>
      <c r="G562" s="2"/>
      <c r="H562" s="3"/>
      <c r="I562" s="325"/>
      <c r="J562" s="9"/>
      <c r="K562" s="27" t="s">
        <v>32</v>
      </c>
      <c r="L562" s="81">
        <f>+C611+C571</f>
        <v>10</v>
      </c>
    </row>
    <row r="563" spans="1:12" ht="38.25">
      <c r="A563" s="59" t="s">
        <v>430</v>
      </c>
      <c r="B563" s="219">
        <v>30.2</v>
      </c>
      <c r="C563" s="219">
        <v>30</v>
      </c>
      <c r="D563" s="1"/>
      <c r="E563" s="2"/>
      <c r="F563" s="2"/>
      <c r="G563" s="2"/>
      <c r="H563" s="3"/>
      <c r="I563" s="325"/>
      <c r="J563" s="9"/>
      <c r="K563" s="27" t="s">
        <v>23</v>
      </c>
      <c r="L563" s="82">
        <f>C616+C597</f>
        <v>13</v>
      </c>
    </row>
    <row r="564" spans="1:27" ht="30" customHeight="1">
      <c r="A564" s="674" t="s">
        <v>618</v>
      </c>
      <c r="B564" s="674"/>
      <c r="C564" s="674"/>
      <c r="D564" s="632">
        <v>40</v>
      </c>
      <c r="E564" s="2">
        <v>5.1</v>
      </c>
      <c r="F564" s="2">
        <v>4.05</v>
      </c>
      <c r="G564" s="2">
        <v>0.25</v>
      </c>
      <c r="H564" s="3">
        <f>E564*4+F564*9+G564*4</f>
        <v>57.849999999999994</v>
      </c>
      <c r="I564" s="302" t="s">
        <v>296</v>
      </c>
      <c r="J564" s="9"/>
      <c r="K564" s="28" t="s">
        <v>33</v>
      </c>
      <c r="L564" s="82">
        <f>D564</f>
        <v>40</v>
      </c>
      <c r="V564" s="40"/>
      <c r="W564" s="40"/>
      <c r="X564" s="40"/>
      <c r="Y564" s="40"/>
      <c r="Z564" s="40"/>
      <c r="AA564" s="40"/>
    </row>
    <row r="565" spans="1:27" s="83" customFormat="1" ht="30" customHeight="1">
      <c r="A565" s="675" t="s">
        <v>449</v>
      </c>
      <c r="B565" s="675"/>
      <c r="C565" s="675"/>
      <c r="D565" s="1" t="s">
        <v>93</v>
      </c>
      <c r="E565" s="21">
        <v>7.8</v>
      </c>
      <c r="F565" s="21">
        <v>9.5</v>
      </c>
      <c r="G565" s="21">
        <v>35.8</v>
      </c>
      <c r="H565" s="3">
        <f>E565*4+F565*9+G565*4</f>
        <v>259.9</v>
      </c>
      <c r="I565" s="302" t="s">
        <v>344</v>
      </c>
      <c r="J565" s="9"/>
      <c r="K565" s="28" t="s">
        <v>78</v>
      </c>
      <c r="L565" s="81"/>
      <c r="M565" s="80"/>
      <c r="N565" s="80"/>
      <c r="O565" s="80"/>
      <c r="P565" s="80"/>
      <c r="Q565" s="80"/>
      <c r="R565" s="80"/>
      <c r="S565" s="80"/>
      <c r="T565" s="80"/>
      <c r="U565" s="80"/>
      <c r="V565" s="80"/>
      <c r="W565" s="80"/>
      <c r="X565" s="80"/>
      <c r="Y565" s="80"/>
      <c r="Z565" s="80"/>
      <c r="AA565" s="80"/>
    </row>
    <row r="566" spans="1:11" ht="30" customHeight="1">
      <c r="A566" s="25" t="s">
        <v>345</v>
      </c>
      <c r="B566" s="22">
        <v>40</v>
      </c>
      <c r="C566" s="22">
        <v>40</v>
      </c>
      <c r="D566" s="43"/>
      <c r="E566" s="43"/>
      <c r="F566" s="43"/>
      <c r="G566" s="43"/>
      <c r="H566" s="26"/>
      <c r="I566" s="385"/>
      <c r="J566" s="9"/>
      <c r="K566" s="264" t="s">
        <v>193</v>
      </c>
    </row>
    <row r="567" spans="1:10" ht="30" customHeight="1">
      <c r="A567" s="25" t="s">
        <v>60</v>
      </c>
      <c r="B567" s="22">
        <v>56</v>
      </c>
      <c r="C567" s="22">
        <v>56</v>
      </c>
      <c r="D567" s="43"/>
      <c r="E567" s="43"/>
      <c r="F567" s="43"/>
      <c r="G567" s="43"/>
      <c r="H567" s="26"/>
      <c r="I567" s="385"/>
      <c r="J567" s="9"/>
    </row>
    <row r="568" spans="1:10" ht="30" customHeight="1">
      <c r="A568" s="59" t="s">
        <v>63</v>
      </c>
      <c r="B568" s="23">
        <v>112</v>
      </c>
      <c r="C568" s="23">
        <v>112</v>
      </c>
      <c r="D568" s="32"/>
      <c r="E568" s="32"/>
      <c r="F568" s="32"/>
      <c r="G568" s="32"/>
      <c r="H568" s="45"/>
      <c r="I568" s="443"/>
      <c r="J568" s="9"/>
    </row>
    <row r="569" spans="1:21" ht="30" customHeight="1">
      <c r="A569" s="20" t="s">
        <v>219</v>
      </c>
      <c r="B569" s="56">
        <v>0.8</v>
      </c>
      <c r="C569" s="56">
        <v>0.8</v>
      </c>
      <c r="D569" s="453"/>
      <c r="E569" s="38"/>
      <c r="F569" s="38"/>
      <c r="G569" s="38"/>
      <c r="H569" s="57"/>
      <c r="I569" s="38"/>
      <c r="J569" s="10"/>
      <c r="S569" s="40"/>
      <c r="T569" s="40"/>
      <c r="U569" s="40"/>
    </row>
    <row r="570" spans="1:18" ht="30" customHeight="1">
      <c r="A570" s="25" t="s">
        <v>39</v>
      </c>
      <c r="B570" s="22">
        <v>3</v>
      </c>
      <c r="C570" s="22">
        <v>3</v>
      </c>
      <c r="D570" s="43"/>
      <c r="E570" s="43"/>
      <c r="F570" s="43"/>
      <c r="G570" s="43"/>
      <c r="H570" s="26"/>
      <c r="I570" s="444"/>
      <c r="J570" s="10"/>
      <c r="M570" s="83"/>
      <c r="O570" s="83"/>
      <c r="P570" s="83"/>
      <c r="Q570" s="83"/>
      <c r="R570" s="83"/>
    </row>
    <row r="571" spans="1:10" ht="30" customHeight="1">
      <c r="A571" s="25" t="s">
        <v>40</v>
      </c>
      <c r="B571" s="22">
        <v>5</v>
      </c>
      <c r="C571" s="22">
        <v>5</v>
      </c>
      <c r="D571" s="43"/>
      <c r="E571" s="43"/>
      <c r="F571" s="43"/>
      <c r="G571" s="43"/>
      <c r="H571" s="26"/>
      <c r="I571" s="385"/>
      <c r="J571" s="10"/>
    </row>
    <row r="572" spans="1:34" ht="30" customHeight="1">
      <c r="A572" s="692" t="s">
        <v>95</v>
      </c>
      <c r="B572" s="692"/>
      <c r="C572" s="692"/>
      <c r="D572" s="692"/>
      <c r="E572" s="692"/>
      <c r="F572" s="692"/>
      <c r="G572" s="692"/>
      <c r="H572" s="692"/>
      <c r="I572" s="692"/>
      <c r="J572" s="10"/>
      <c r="AA572" s="91"/>
      <c r="AB572" s="91"/>
      <c r="AC572" s="91"/>
      <c r="AD572" s="91"/>
      <c r="AE572" s="91"/>
      <c r="AF572" s="91"/>
      <c r="AG572" s="91"/>
      <c r="AH572" s="91"/>
    </row>
    <row r="573" spans="1:34" ht="30" customHeight="1">
      <c r="A573" s="675" t="s">
        <v>529</v>
      </c>
      <c r="B573" s="675"/>
      <c r="C573" s="675"/>
      <c r="D573" s="1" t="s">
        <v>93</v>
      </c>
      <c r="E573" s="2">
        <v>7.7</v>
      </c>
      <c r="F573" s="2">
        <v>8.2</v>
      </c>
      <c r="G573" s="2">
        <v>35.5</v>
      </c>
      <c r="H573" s="104">
        <f>E573*4+F573*9+G573*4</f>
        <v>246.6</v>
      </c>
      <c r="I573" s="300" t="s">
        <v>530</v>
      </c>
      <c r="J573" s="10"/>
      <c r="AA573" s="91"/>
      <c r="AB573" s="91"/>
      <c r="AC573" s="91"/>
      <c r="AD573" s="91"/>
      <c r="AE573" s="91"/>
      <c r="AF573" s="91"/>
      <c r="AG573" s="91"/>
      <c r="AH573" s="91"/>
    </row>
    <row r="574" spans="1:34" ht="30" customHeight="1">
      <c r="A574" s="25" t="s">
        <v>531</v>
      </c>
      <c r="B574" s="22">
        <v>45</v>
      </c>
      <c r="C574" s="22">
        <v>45</v>
      </c>
      <c r="D574" s="1"/>
      <c r="E574" s="2"/>
      <c r="F574" s="2"/>
      <c r="G574" s="2"/>
      <c r="H574" s="104"/>
      <c r="I574" s="297"/>
      <c r="J574" s="10"/>
      <c r="AA574" s="91"/>
      <c r="AB574" s="91"/>
      <c r="AC574" s="91"/>
      <c r="AD574" s="91"/>
      <c r="AE574" s="91"/>
      <c r="AF574" s="91"/>
      <c r="AG574" s="91"/>
      <c r="AH574" s="91"/>
    </row>
    <row r="575" spans="1:34" ht="30" customHeight="1">
      <c r="A575" s="25" t="s">
        <v>60</v>
      </c>
      <c r="B575" s="22">
        <v>56</v>
      </c>
      <c r="C575" s="22">
        <v>56</v>
      </c>
      <c r="D575" s="1"/>
      <c r="E575" s="2"/>
      <c r="F575" s="2"/>
      <c r="G575" s="2"/>
      <c r="H575" s="104"/>
      <c r="I575" s="297"/>
      <c r="J575" s="10"/>
      <c r="Q575" s="87"/>
      <c r="R575" s="687"/>
      <c r="S575" s="688"/>
      <c r="T575" s="688"/>
      <c r="U575" s="130"/>
      <c r="V575" s="236"/>
      <c r="W575" s="236"/>
      <c r="X575" s="236"/>
      <c r="Y575" s="531"/>
      <c r="Z575" s="528"/>
      <c r="AA575" s="87"/>
      <c r="AB575" s="179"/>
      <c r="AC575" s="179"/>
      <c r="AD575" s="179"/>
      <c r="AE575" s="179"/>
      <c r="AF575" s="179"/>
      <c r="AG575" s="179"/>
      <c r="AH575" s="179"/>
    </row>
    <row r="576" spans="1:34" ht="30" customHeight="1">
      <c r="A576" s="59" t="s">
        <v>63</v>
      </c>
      <c r="B576" s="23">
        <v>115</v>
      </c>
      <c r="C576" s="23">
        <v>115</v>
      </c>
      <c r="D576" s="1"/>
      <c r="E576" s="2"/>
      <c r="F576" s="2"/>
      <c r="G576" s="2"/>
      <c r="H576" s="3"/>
      <c r="I576" s="333"/>
      <c r="J576" s="9"/>
      <c r="Q576" s="87"/>
      <c r="R576" s="215"/>
      <c r="S576" s="78"/>
      <c r="T576" s="74"/>
      <c r="U576" s="130"/>
      <c r="V576" s="236"/>
      <c r="W576" s="236"/>
      <c r="X576" s="236"/>
      <c r="Y576" s="531"/>
      <c r="Z576" s="528"/>
      <c r="AA576" s="87"/>
      <c r="AB576" s="76"/>
      <c r="AC576" s="76"/>
      <c r="AD576" s="76"/>
      <c r="AE576" s="76"/>
      <c r="AF576" s="76"/>
      <c r="AG576" s="76"/>
      <c r="AH576" s="460"/>
    </row>
    <row r="577" spans="1:34" ht="30" customHeight="1">
      <c r="A577" s="20" t="s">
        <v>219</v>
      </c>
      <c r="B577" s="56">
        <v>0.8</v>
      </c>
      <c r="C577" s="56">
        <v>0.8</v>
      </c>
      <c r="D577" s="453"/>
      <c r="E577" s="38"/>
      <c r="F577" s="38"/>
      <c r="G577" s="38"/>
      <c r="H577" s="57"/>
      <c r="I577" s="38"/>
      <c r="J577" s="10"/>
      <c r="Q577" s="87"/>
      <c r="R577" s="139"/>
      <c r="S577" s="78"/>
      <c r="T577" s="74"/>
      <c r="U577" s="76"/>
      <c r="V577" s="76"/>
      <c r="W577" s="76"/>
      <c r="X577" s="76"/>
      <c r="Y577" s="74"/>
      <c r="Z577" s="578"/>
      <c r="AA577" s="87"/>
      <c r="AB577" s="461"/>
      <c r="AC577" s="461"/>
      <c r="AD577" s="129"/>
      <c r="AE577" s="129"/>
      <c r="AF577" s="129"/>
      <c r="AG577" s="129"/>
      <c r="AH577" s="129"/>
    </row>
    <row r="578" spans="1:34" ht="30" customHeight="1">
      <c r="A578" s="100" t="s">
        <v>39</v>
      </c>
      <c r="B578" s="22">
        <v>3</v>
      </c>
      <c r="C578" s="22">
        <v>3</v>
      </c>
      <c r="D578" s="1"/>
      <c r="E578" s="43"/>
      <c r="F578" s="43"/>
      <c r="G578" s="43"/>
      <c r="H578" s="26"/>
      <c r="I578" s="609"/>
      <c r="J578" s="10"/>
      <c r="Q578" s="87"/>
      <c r="R578" s="215"/>
      <c r="S578" s="78"/>
      <c r="T578" s="74"/>
      <c r="U578" s="66"/>
      <c r="V578" s="633"/>
      <c r="W578" s="633"/>
      <c r="X578" s="633"/>
      <c r="Y578" s="634"/>
      <c r="Z578" s="579"/>
      <c r="AA578" s="87"/>
      <c r="AB578" s="462"/>
      <c r="AC578" s="462"/>
      <c r="AD578" s="462"/>
      <c r="AE578" s="462"/>
      <c r="AF578" s="462"/>
      <c r="AG578" s="462"/>
      <c r="AH578" s="462"/>
    </row>
    <row r="579" spans="1:34" ht="30" customHeight="1">
      <c r="A579" s="100" t="s">
        <v>40</v>
      </c>
      <c r="B579" s="149">
        <v>5</v>
      </c>
      <c r="C579" s="22">
        <v>5</v>
      </c>
      <c r="D579" s="1"/>
      <c r="E579" s="43"/>
      <c r="F579" s="43"/>
      <c r="G579" s="43"/>
      <c r="H579" s="26"/>
      <c r="I579" s="609"/>
      <c r="J579" s="10"/>
      <c r="Q579" s="87"/>
      <c r="R579" s="139"/>
      <c r="S579" s="78"/>
      <c r="T579" s="74"/>
      <c r="U579" s="76"/>
      <c r="V579" s="76"/>
      <c r="W579" s="76"/>
      <c r="X579" s="76"/>
      <c r="Y579" s="74"/>
      <c r="Z579" s="580"/>
      <c r="AA579" s="87"/>
      <c r="AB579" s="183"/>
      <c r="AC579" s="183"/>
      <c r="AD579" s="183"/>
      <c r="AE579" s="183"/>
      <c r="AF579" s="183"/>
      <c r="AG579" s="183"/>
      <c r="AH579" s="183"/>
    </row>
    <row r="580" spans="1:34" ht="30" customHeight="1">
      <c r="A580" s="683" t="s">
        <v>314</v>
      </c>
      <c r="B580" s="683"/>
      <c r="C580" s="683"/>
      <c r="D580" s="4">
        <v>100</v>
      </c>
      <c r="E580" s="242">
        <v>0.1</v>
      </c>
      <c r="F580" s="242">
        <v>0.2</v>
      </c>
      <c r="G580" s="242">
        <v>5.7</v>
      </c>
      <c r="H580" s="3">
        <f>E580*4+F580*9+G580*4</f>
        <v>25</v>
      </c>
      <c r="I580" s="305" t="s">
        <v>224</v>
      </c>
      <c r="J580" s="10"/>
      <c r="Q580" s="87"/>
      <c r="R580" s="136"/>
      <c r="S580" s="79"/>
      <c r="T580" s="79"/>
      <c r="U580" s="76"/>
      <c r="V580" s="76"/>
      <c r="W580" s="76"/>
      <c r="X580" s="76"/>
      <c r="Y580" s="74"/>
      <c r="Z580" s="581"/>
      <c r="AA580" s="87"/>
      <c r="AB580" s="183"/>
      <c r="AC580" s="183"/>
      <c r="AD580" s="183"/>
      <c r="AE580" s="183"/>
      <c r="AF580" s="183"/>
      <c r="AG580" s="183"/>
      <c r="AH580" s="183"/>
    </row>
    <row r="581" spans="1:34" ht="30" customHeight="1">
      <c r="A581" s="675" t="s">
        <v>574</v>
      </c>
      <c r="B581" s="675"/>
      <c r="C581" s="675"/>
      <c r="D581" s="1">
        <v>200</v>
      </c>
      <c r="E581" s="1">
        <v>4.3</v>
      </c>
      <c r="F581" s="1">
        <v>3.9</v>
      </c>
      <c r="G581" s="2">
        <v>15</v>
      </c>
      <c r="H581" s="3">
        <f>E581*4+F581*9+G581*4</f>
        <v>112.3</v>
      </c>
      <c r="I581" s="300" t="s">
        <v>352</v>
      </c>
      <c r="J581" s="10"/>
      <c r="Q581" s="87"/>
      <c r="R581" s="136"/>
      <c r="S581" s="79"/>
      <c r="T581" s="79"/>
      <c r="U581" s="76"/>
      <c r="V581" s="76"/>
      <c r="W581" s="76"/>
      <c r="X581" s="76"/>
      <c r="Y581" s="74"/>
      <c r="Z581" s="581"/>
      <c r="AA581" s="87"/>
      <c r="AB581" s="183"/>
      <c r="AC581" s="183"/>
      <c r="AD581" s="183"/>
      <c r="AE581" s="183"/>
      <c r="AF581" s="183"/>
      <c r="AG581" s="183"/>
      <c r="AH581" s="183"/>
    </row>
    <row r="582" spans="1:34" ht="30" customHeight="1">
      <c r="A582" s="25" t="s">
        <v>575</v>
      </c>
      <c r="B582" s="22">
        <v>10</v>
      </c>
      <c r="C582" s="22">
        <v>10</v>
      </c>
      <c r="D582" s="22"/>
      <c r="E582" s="22"/>
      <c r="F582" s="22"/>
      <c r="G582" s="22"/>
      <c r="H582" s="26"/>
      <c r="I582" s="43"/>
      <c r="J582" s="10"/>
      <c r="Q582" s="87"/>
      <c r="R582" s="139"/>
      <c r="S582" s="79"/>
      <c r="T582" s="79"/>
      <c r="U582" s="76"/>
      <c r="V582" s="76"/>
      <c r="W582" s="76"/>
      <c r="X582" s="76"/>
      <c r="Y582" s="74"/>
      <c r="Z582" s="581"/>
      <c r="AA582" s="87"/>
      <c r="AB582" s="183"/>
      <c r="AC582" s="183"/>
      <c r="AD582" s="183"/>
      <c r="AE582" s="183"/>
      <c r="AF582" s="183"/>
      <c r="AG582" s="183"/>
      <c r="AH582" s="183"/>
    </row>
    <row r="583" spans="1:34" ht="30" customHeight="1">
      <c r="A583" s="25" t="s">
        <v>388</v>
      </c>
      <c r="B583" s="22">
        <v>5</v>
      </c>
      <c r="C583" s="22">
        <v>5</v>
      </c>
      <c r="D583" s="22"/>
      <c r="E583" s="22"/>
      <c r="F583" s="22"/>
      <c r="G583" s="22"/>
      <c r="H583" s="26"/>
      <c r="I583" s="43"/>
      <c r="J583" s="10"/>
      <c r="Q583" s="87"/>
      <c r="R583" s="139"/>
      <c r="S583" s="79"/>
      <c r="T583" s="79"/>
      <c r="U583" s="76"/>
      <c r="V583" s="76"/>
      <c r="W583" s="76"/>
      <c r="X583" s="76"/>
      <c r="Y583" s="74"/>
      <c r="Z583" s="581"/>
      <c r="AA583" s="87"/>
      <c r="AB583" s="183"/>
      <c r="AC583" s="183"/>
      <c r="AD583" s="183"/>
      <c r="AE583" s="183"/>
      <c r="AF583" s="183"/>
      <c r="AG583" s="183"/>
      <c r="AH583" s="183"/>
    </row>
    <row r="584" spans="1:34" ht="30" customHeight="1">
      <c r="A584" s="25" t="s">
        <v>39</v>
      </c>
      <c r="B584" s="175">
        <v>5</v>
      </c>
      <c r="C584" s="175">
        <v>5</v>
      </c>
      <c r="D584" s="433"/>
      <c r="E584" s="433"/>
      <c r="F584" s="433"/>
      <c r="G584" s="433"/>
      <c r="H584" s="434"/>
      <c r="I584" s="304"/>
      <c r="J584" s="10"/>
      <c r="Q584" s="87"/>
      <c r="R584" s="139"/>
      <c r="S584" s="74"/>
      <c r="T584" s="74"/>
      <c r="U584" s="76"/>
      <c r="V584" s="76"/>
      <c r="W584" s="76"/>
      <c r="X584" s="76"/>
      <c r="Y584" s="74"/>
      <c r="Z584" s="581"/>
      <c r="AA584" s="87"/>
      <c r="AB584" s="183"/>
      <c r="AC584" s="183"/>
      <c r="AD584" s="183"/>
      <c r="AE584" s="183"/>
      <c r="AF584" s="183"/>
      <c r="AG584" s="183"/>
      <c r="AH584" s="183"/>
    </row>
    <row r="585" spans="1:34" ht="30" customHeight="1">
      <c r="A585" s="53" t="s">
        <v>63</v>
      </c>
      <c r="B585" s="23">
        <v>150</v>
      </c>
      <c r="C585" s="23">
        <v>150</v>
      </c>
      <c r="D585" s="22"/>
      <c r="E585" s="22"/>
      <c r="F585" s="22"/>
      <c r="G585" s="22"/>
      <c r="H585" s="26"/>
      <c r="I585" s="43"/>
      <c r="J585" s="10"/>
      <c r="Q585" s="87"/>
      <c r="R585" s="87"/>
      <c r="S585" s="87"/>
      <c r="T585" s="87"/>
      <c r="U585" s="87"/>
      <c r="V585" s="87"/>
      <c r="W585" s="87"/>
      <c r="X585" s="87"/>
      <c r="Y585" s="87"/>
      <c r="Z585" s="87"/>
      <c r="AA585" s="87"/>
      <c r="AB585" s="91"/>
      <c r="AC585" s="91"/>
      <c r="AD585" s="91"/>
      <c r="AE585" s="91"/>
      <c r="AF585" s="91"/>
      <c r="AG585" s="91"/>
      <c r="AH585" s="91"/>
    </row>
    <row r="586" spans="1:27" ht="30" customHeight="1">
      <c r="A586" s="692" t="s">
        <v>95</v>
      </c>
      <c r="B586" s="692"/>
      <c r="C586" s="692"/>
      <c r="D586" s="692"/>
      <c r="E586" s="692"/>
      <c r="F586" s="692"/>
      <c r="G586" s="692"/>
      <c r="H586" s="692"/>
      <c r="I586" s="692"/>
      <c r="J586" s="10"/>
      <c r="Q586" s="87"/>
      <c r="R586" s="87"/>
      <c r="S586" s="87"/>
      <c r="T586" s="87"/>
      <c r="U586" s="87"/>
      <c r="V586" s="87"/>
      <c r="W586" s="87"/>
      <c r="X586" s="87"/>
      <c r="Y586" s="87"/>
      <c r="Z586" s="87"/>
      <c r="AA586" s="87"/>
    </row>
    <row r="587" spans="1:10" ht="30" customHeight="1">
      <c r="A587" s="674" t="s">
        <v>528</v>
      </c>
      <c r="B587" s="674"/>
      <c r="C587" s="674"/>
      <c r="D587" s="1">
        <v>200</v>
      </c>
      <c r="E587" s="2">
        <v>2.9</v>
      </c>
      <c r="F587" s="1">
        <v>3.3</v>
      </c>
      <c r="G587" s="1">
        <v>21.1</v>
      </c>
      <c r="H587" s="104">
        <f>E587*4+F587*9+G587*4</f>
        <v>125.7</v>
      </c>
      <c r="I587" s="300" t="s">
        <v>527</v>
      </c>
      <c r="J587" s="10"/>
    </row>
    <row r="588" spans="1:10" ht="30" customHeight="1">
      <c r="A588" s="100" t="s">
        <v>69</v>
      </c>
      <c r="B588" s="46">
        <v>5</v>
      </c>
      <c r="C588" s="46">
        <v>5</v>
      </c>
      <c r="D588" s="47"/>
      <c r="E588" s="50"/>
      <c r="F588" s="50"/>
      <c r="G588" s="50"/>
      <c r="H588" s="46"/>
      <c r="I588" s="305"/>
      <c r="J588" s="10"/>
    </row>
    <row r="589" spans="1:10" ht="30" customHeight="1">
      <c r="A589" s="59" t="s">
        <v>108</v>
      </c>
      <c r="B589" s="58">
        <v>38</v>
      </c>
      <c r="C589" s="58">
        <v>38</v>
      </c>
      <c r="D589" s="22"/>
      <c r="E589" s="22"/>
      <c r="F589" s="22"/>
      <c r="G589" s="22"/>
      <c r="H589" s="26"/>
      <c r="I589" s="295"/>
      <c r="J589" s="10"/>
    </row>
    <row r="590" spans="1:10" ht="30" customHeight="1">
      <c r="A590" s="674" t="s">
        <v>74</v>
      </c>
      <c r="B590" s="674"/>
      <c r="C590" s="674"/>
      <c r="D590" s="1">
        <v>20</v>
      </c>
      <c r="E590" s="2">
        <v>1</v>
      </c>
      <c r="F590" s="2">
        <v>0.27999999999999997</v>
      </c>
      <c r="G590" s="2">
        <v>8.1</v>
      </c>
      <c r="H590" s="3">
        <v>38.92</v>
      </c>
      <c r="I590" s="294"/>
      <c r="J590" s="10"/>
    </row>
    <row r="591" spans="1:10" ht="30" customHeight="1">
      <c r="A591" s="675" t="s">
        <v>72</v>
      </c>
      <c r="B591" s="675"/>
      <c r="C591" s="675"/>
      <c r="D591" s="1">
        <v>20</v>
      </c>
      <c r="E591" s="2"/>
      <c r="F591" s="2"/>
      <c r="G591" s="2"/>
      <c r="H591" s="3"/>
      <c r="I591" s="294"/>
      <c r="J591" s="10"/>
    </row>
    <row r="592" spans="1:10" ht="30" customHeight="1">
      <c r="A592" s="690" t="s">
        <v>205</v>
      </c>
      <c r="B592" s="690"/>
      <c r="C592" s="690"/>
      <c r="D592" s="243">
        <f>D593+300+D612+D623</f>
        <v>850</v>
      </c>
      <c r="E592" s="71">
        <f>E593+E598+E612+E623+E627+E629</f>
        <v>30.7</v>
      </c>
      <c r="F592" s="71">
        <f>F593+F598+F612+F623+F627+F629</f>
        <v>28.740000000000002</v>
      </c>
      <c r="G592" s="71">
        <f>G593+G598+G612+G623+G627+G629</f>
        <v>136.6</v>
      </c>
      <c r="H592" s="265">
        <f>H593+H598+H612+H623+H627+H629</f>
        <v>928.26</v>
      </c>
      <c r="I592" s="293"/>
      <c r="J592" s="10"/>
    </row>
    <row r="593" spans="1:10" ht="30" customHeight="1">
      <c r="A593" s="671" t="s">
        <v>469</v>
      </c>
      <c r="B593" s="671"/>
      <c r="C593" s="671"/>
      <c r="D593" s="1">
        <v>100</v>
      </c>
      <c r="E593" s="2">
        <v>2.1</v>
      </c>
      <c r="F593" s="2">
        <v>5.1</v>
      </c>
      <c r="G593" s="2">
        <v>9.8</v>
      </c>
      <c r="H593" s="3">
        <f>E593*4+F593*9+G593*4</f>
        <v>93.5</v>
      </c>
      <c r="I593" s="471" t="s">
        <v>470</v>
      </c>
      <c r="J593" s="10"/>
    </row>
    <row r="594" spans="1:10" ht="30" customHeight="1">
      <c r="A594" s="25" t="s">
        <v>75</v>
      </c>
      <c r="B594" s="43">
        <f>C594*1.02</f>
        <v>61.2</v>
      </c>
      <c r="C594" s="46">
        <v>60</v>
      </c>
      <c r="D594" s="266"/>
      <c r="E594" s="50"/>
      <c r="F594" s="50"/>
      <c r="G594" s="50"/>
      <c r="H594" s="50"/>
      <c r="I594" s="468"/>
      <c r="J594" s="10"/>
    </row>
    <row r="595" spans="1:10" ht="30" customHeight="1">
      <c r="A595" s="100" t="s">
        <v>89</v>
      </c>
      <c r="B595" s="26">
        <f>C595*1.18</f>
        <v>70.8</v>
      </c>
      <c r="C595" s="47">
        <v>60</v>
      </c>
      <c r="D595" s="266"/>
      <c r="E595" s="50"/>
      <c r="F595" s="50"/>
      <c r="G595" s="50"/>
      <c r="H595" s="50"/>
      <c r="I595" s="468"/>
      <c r="J595" s="10"/>
    </row>
    <row r="596" spans="1:10" ht="30" customHeight="1">
      <c r="A596" s="25" t="s">
        <v>428</v>
      </c>
      <c r="B596" s="26">
        <f>C596*1.67</f>
        <v>58.449999999999996</v>
      </c>
      <c r="C596" s="22">
        <v>35</v>
      </c>
      <c r="D596" s="266"/>
      <c r="E596" s="43"/>
      <c r="F596" s="43"/>
      <c r="G596" s="43"/>
      <c r="H596" s="22"/>
      <c r="I596" s="320"/>
      <c r="J596" s="10"/>
    </row>
    <row r="597" spans="1:10" ht="30" customHeight="1">
      <c r="A597" s="25" t="s">
        <v>44</v>
      </c>
      <c r="B597" s="22">
        <v>5</v>
      </c>
      <c r="C597" s="22">
        <v>5</v>
      </c>
      <c r="D597" s="266"/>
      <c r="E597" s="43"/>
      <c r="F597" s="43"/>
      <c r="G597" s="43"/>
      <c r="H597" s="22"/>
      <c r="I597" s="320"/>
      <c r="J597" s="10"/>
    </row>
    <row r="598" spans="1:10" ht="30" customHeight="1">
      <c r="A598" s="675" t="s">
        <v>580</v>
      </c>
      <c r="B598" s="675"/>
      <c r="C598" s="675"/>
      <c r="D598" s="1" t="s">
        <v>482</v>
      </c>
      <c r="E598" s="2">
        <v>9.1</v>
      </c>
      <c r="F598" s="2">
        <v>6.7</v>
      </c>
      <c r="G598" s="2">
        <v>19.7</v>
      </c>
      <c r="H598" s="465">
        <f>G598*4+F598*9+E598*4</f>
        <v>175.5</v>
      </c>
      <c r="I598" s="297" t="s">
        <v>579</v>
      </c>
      <c r="J598" s="10"/>
    </row>
    <row r="599" spans="1:10" ht="30" customHeight="1">
      <c r="A599" s="73" t="s">
        <v>479</v>
      </c>
      <c r="B599" s="464">
        <f>C599*1.5</f>
        <v>90</v>
      </c>
      <c r="C599" s="49">
        <v>60</v>
      </c>
      <c r="D599" s="38"/>
      <c r="E599" s="435"/>
      <c r="F599" s="435"/>
      <c r="G599" s="435"/>
      <c r="H599" s="435"/>
      <c r="I599" s="610"/>
      <c r="J599" s="10"/>
    </row>
    <row r="600" spans="1:10" ht="30" customHeight="1">
      <c r="A600" s="73" t="s">
        <v>394</v>
      </c>
      <c r="B600" s="464">
        <f>C600*1.71</f>
        <v>102.6</v>
      </c>
      <c r="C600" s="49">
        <v>60</v>
      </c>
      <c r="D600" s="38"/>
      <c r="E600" s="435"/>
      <c r="F600" s="435"/>
      <c r="G600" s="435"/>
      <c r="H600" s="435"/>
      <c r="I600" s="610"/>
      <c r="J600" s="10"/>
    </row>
    <row r="601" spans="1:10" ht="30" customHeight="1">
      <c r="A601" s="73" t="s">
        <v>480</v>
      </c>
      <c r="B601" s="323">
        <f>C601*1.82</f>
        <v>109.2</v>
      </c>
      <c r="C601" s="161">
        <v>60</v>
      </c>
      <c r="D601" s="512"/>
      <c r="E601" s="435"/>
      <c r="F601" s="611"/>
      <c r="G601" s="611"/>
      <c r="H601" s="612"/>
      <c r="I601" s="613"/>
      <c r="J601" s="10"/>
    </row>
    <row r="602" spans="1:27" ht="30" customHeight="1">
      <c r="A602" s="54" t="s">
        <v>429</v>
      </c>
      <c r="B602" s="37">
        <f>C602*1.32</f>
        <v>80.52000000000001</v>
      </c>
      <c r="C602" s="26">
        <v>61</v>
      </c>
      <c r="D602" s="23"/>
      <c r="E602" s="32"/>
      <c r="F602" s="32"/>
      <c r="G602" s="32"/>
      <c r="H602" s="23"/>
      <c r="I602" s="466"/>
      <c r="J602" s="10"/>
      <c r="V602" s="40"/>
      <c r="W602" s="40"/>
      <c r="X602" s="40"/>
      <c r="Y602" s="40"/>
      <c r="Z602" s="40"/>
      <c r="AA602" s="40"/>
    </row>
    <row r="603" spans="1:10" ht="30" customHeight="1">
      <c r="A603" s="54" t="s">
        <v>481</v>
      </c>
      <c r="B603" s="323">
        <f>C603*1.05</f>
        <v>52.5</v>
      </c>
      <c r="C603" s="49">
        <v>50</v>
      </c>
      <c r="D603" s="512"/>
      <c r="E603" s="435"/>
      <c r="F603" s="611"/>
      <c r="G603" s="611"/>
      <c r="H603" s="612"/>
      <c r="I603" s="515"/>
      <c r="J603" s="9"/>
    </row>
    <row r="604" spans="1:10" ht="30" customHeight="1">
      <c r="A604" s="100" t="s">
        <v>47</v>
      </c>
      <c r="B604" s="46">
        <f>C604*1.33</f>
        <v>150.29000000000002</v>
      </c>
      <c r="C604" s="219">
        <v>113</v>
      </c>
      <c r="D604" s="47"/>
      <c r="E604" s="225"/>
      <c r="F604" s="614"/>
      <c r="G604" s="614"/>
      <c r="H604" s="615"/>
      <c r="I604" s="470"/>
      <c r="J604" s="93"/>
    </row>
    <row r="605" spans="1:10" ht="30" customHeight="1">
      <c r="A605" s="25" t="s">
        <v>48</v>
      </c>
      <c r="B605" s="46">
        <f>C605*1.43</f>
        <v>161.59</v>
      </c>
      <c r="C605" s="219">
        <v>113</v>
      </c>
      <c r="D605" s="47"/>
      <c r="E605" s="225"/>
      <c r="F605" s="614"/>
      <c r="G605" s="614"/>
      <c r="H605" s="615"/>
      <c r="I605" s="470"/>
      <c r="J605" s="93"/>
    </row>
    <row r="606" spans="1:21" ht="30" customHeight="1">
      <c r="A606" s="100" t="s">
        <v>49</v>
      </c>
      <c r="B606" s="46">
        <f>C606*1.54</f>
        <v>174.02</v>
      </c>
      <c r="C606" s="219">
        <v>113</v>
      </c>
      <c r="D606" s="47"/>
      <c r="E606" s="225"/>
      <c r="F606" s="614"/>
      <c r="G606" s="614"/>
      <c r="H606" s="615"/>
      <c r="I606" s="470"/>
      <c r="J606" s="93"/>
      <c r="S606" s="40"/>
      <c r="T606" s="40"/>
      <c r="U606" s="40"/>
    </row>
    <row r="607" spans="1:10" ht="30.75" customHeight="1">
      <c r="A607" s="100" t="s">
        <v>50</v>
      </c>
      <c r="B607" s="46">
        <f>C607*1.67</f>
        <v>188.70999999999998</v>
      </c>
      <c r="C607" s="219">
        <v>113</v>
      </c>
      <c r="D607" s="47"/>
      <c r="E607" s="225"/>
      <c r="F607" s="614"/>
      <c r="G607" s="614"/>
      <c r="H607" s="615"/>
      <c r="I607" s="470"/>
      <c r="J607" s="93"/>
    </row>
    <row r="608" spans="1:10" ht="30.75" customHeight="1">
      <c r="A608" s="115" t="s">
        <v>112</v>
      </c>
      <c r="B608" s="270">
        <f>C608*1.25</f>
        <v>12.5</v>
      </c>
      <c r="C608" s="45">
        <v>10</v>
      </c>
      <c r="D608" s="22"/>
      <c r="E608" s="21"/>
      <c r="F608" s="21"/>
      <c r="G608" s="21"/>
      <c r="H608" s="238"/>
      <c r="I608" s="302"/>
      <c r="J608" s="93"/>
    </row>
    <row r="609" spans="1:10" ht="30.75" customHeight="1">
      <c r="A609" s="115" t="s">
        <v>43</v>
      </c>
      <c r="B609" s="270">
        <f>C609*1.33</f>
        <v>13.3</v>
      </c>
      <c r="C609" s="45">
        <v>10</v>
      </c>
      <c r="D609" s="22"/>
      <c r="E609" s="21"/>
      <c r="F609" s="21"/>
      <c r="G609" s="21"/>
      <c r="H609" s="238"/>
      <c r="I609" s="302"/>
      <c r="J609" s="93"/>
    </row>
    <row r="610" spans="1:10" ht="30.75" customHeight="1">
      <c r="A610" s="25" t="s">
        <v>51</v>
      </c>
      <c r="B610" s="46">
        <f>C610*1.19</f>
        <v>11.899999999999999</v>
      </c>
      <c r="C610" s="47">
        <v>10</v>
      </c>
      <c r="D610" s="47"/>
      <c r="E610" s="225"/>
      <c r="F610" s="43"/>
      <c r="G610" s="43"/>
      <c r="H610" s="46"/>
      <c r="I610" s="470"/>
      <c r="J610" s="93"/>
    </row>
    <row r="611" spans="1:13" ht="30.75" customHeight="1">
      <c r="A611" s="25" t="s">
        <v>70</v>
      </c>
      <c r="B611" s="47">
        <v>5</v>
      </c>
      <c r="C611" s="219">
        <v>5</v>
      </c>
      <c r="D611" s="47"/>
      <c r="E611" s="225"/>
      <c r="F611" s="50"/>
      <c r="G611" s="50"/>
      <c r="H611" s="47"/>
      <c r="I611" s="472"/>
      <c r="J611" s="93"/>
      <c r="M611" s="176"/>
    </row>
    <row r="612" spans="1:27" ht="30.75" customHeight="1">
      <c r="A612" s="683" t="s">
        <v>439</v>
      </c>
      <c r="B612" s="683"/>
      <c r="C612" s="683"/>
      <c r="D612" s="632">
        <v>250</v>
      </c>
      <c r="E612" s="21">
        <v>14.9</v>
      </c>
      <c r="F612" s="21">
        <v>15.8</v>
      </c>
      <c r="G612" s="21">
        <v>44.9</v>
      </c>
      <c r="H612" s="238">
        <f>E612*4+F612*9+G612*4</f>
        <v>381.4</v>
      </c>
      <c r="I612" s="302" t="s">
        <v>363</v>
      </c>
      <c r="J612" s="93"/>
      <c r="M612" s="135"/>
      <c r="V612" s="83"/>
      <c r="W612" s="83"/>
      <c r="X612" s="83"/>
      <c r="Y612" s="83"/>
      <c r="Z612" s="83"/>
      <c r="AA612" s="83"/>
    </row>
    <row r="613" spans="1:13" ht="30.75" customHeight="1">
      <c r="A613" s="132" t="s">
        <v>45</v>
      </c>
      <c r="B613" s="37">
        <f>C613*1.36</f>
        <v>107.44000000000001</v>
      </c>
      <c r="C613" s="45">
        <v>79</v>
      </c>
      <c r="D613" s="632"/>
      <c r="E613" s="21"/>
      <c r="F613" s="21"/>
      <c r="G613" s="21"/>
      <c r="H613" s="238"/>
      <c r="I613" s="302"/>
      <c r="J613" s="93"/>
      <c r="M613" s="135"/>
    </row>
    <row r="614" spans="1:13" ht="30.75" customHeight="1">
      <c r="A614" s="132" t="s">
        <v>46</v>
      </c>
      <c r="B614" s="37">
        <f>C614*1.18</f>
        <v>93.22</v>
      </c>
      <c r="C614" s="33">
        <f>C613</f>
        <v>79</v>
      </c>
      <c r="D614" s="398"/>
      <c r="E614" s="399"/>
      <c r="F614" s="399"/>
      <c r="G614" s="399"/>
      <c r="H614" s="316"/>
      <c r="I614" s="448"/>
      <c r="J614" s="93"/>
      <c r="M614" s="74"/>
    </row>
    <row r="615" spans="1:27" s="40" customFormat="1" ht="30.75" customHeight="1">
      <c r="A615" s="54" t="s">
        <v>135</v>
      </c>
      <c r="B615" s="159">
        <f>C615*1.17</f>
        <v>86.58</v>
      </c>
      <c r="C615" s="57">
        <v>74</v>
      </c>
      <c r="D615" s="632"/>
      <c r="E615" s="38"/>
      <c r="F615" s="38"/>
      <c r="G615" s="38"/>
      <c r="H615" s="57"/>
      <c r="I615" s="309"/>
      <c r="J615" s="93"/>
      <c r="M615" s="74"/>
      <c r="N615" s="80"/>
      <c r="O615" s="80"/>
      <c r="P615" s="80"/>
      <c r="Q615" s="680"/>
      <c r="R615" s="680"/>
      <c r="S615" s="680"/>
      <c r="T615" s="66"/>
      <c r="U615" s="633"/>
      <c r="V615" s="633"/>
      <c r="W615" s="633"/>
      <c r="X615" s="633"/>
      <c r="Y615" s="356"/>
      <c r="Z615" s="87"/>
      <c r="AA615" s="80"/>
    </row>
    <row r="616" spans="1:26" ht="30.75" customHeight="1">
      <c r="A616" s="25" t="s">
        <v>44</v>
      </c>
      <c r="B616" s="26">
        <v>8</v>
      </c>
      <c r="C616" s="26">
        <v>8</v>
      </c>
      <c r="D616" s="1"/>
      <c r="E616" s="21"/>
      <c r="F616" s="21"/>
      <c r="G616" s="21"/>
      <c r="H616" s="238"/>
      <c r="I616" s="302"/>
      <c r="J616" s="93"/>
      <c r="M616" s="131"/>
      <c r="Q616" s="215"/>
      <c r="R616" s="78"/>
      <c r="S616" s="74"/>
      <c r="T616" s="216"/>
      <c r="U616" s="129"/>
      <c r="V616" s="129"/>
      <c r="W616" s="129"/>
      <c r="X616" s="129"/>
      <c r="Y616" s="362"/>
      <c r="Z616" s="87"/>
    </row>
    <row r="617" spans="1:26" ht="30.75" customHeight="1">
      <c r="A617" s="172" t="s">
        <v>92</v>
      </c>
      <c r="B617" s="3"/>
      <c r="C617" s="3">
        <v>50</v>
      </c>
      <c r="D617" s="1"/>
      <c r="E617" s="21"/>
      <c r="F617" s="21"/>
      <c r="G617" s="21"/>
      <c r="H617" s="238"/>
      <c r="I617" s="302"/>
      <c r="J617" s="93"/>
      <c r="M617" s="74"/>
      <c r="Q617" s="215"/>
      <c r="R617" s="379"/>
      <c r="S617" s="74"/>
      <c r="T617" s="78"/>
      <c r="U617" s="216"/>
      <c r="V617" s="216"/>
      <c r="W617" s="216"/>
      <c r="X617" s="129"/>
      <c r="Y617" s="373"/>
      <c r="Z617" s="87"/>
    </row>
    <row r="618" spans="1:26" ht="30.75" customHeight="1">
      <c r="A618" s="20" t="s">
        <v>57</v>
      </c>
      <c r="B618" s="26">
        <v>68</v>
      </c>
      <c r="C618" s="26">
        <v>68</v>
      </c>
      <c r="D618" s="22"/>
      <c r="E618" s="43"/>
      <c r="F618" s="43"/>
      <c r="G618" s="43"/>
      <c r="H618" s="26"/>
      <c r="I618" s="294"/>
      <c r="J618" s="10"/>
      <c r="M618" s="131"/>
      <c r="Q618" s="139"/>
      <c r="R618" s="78"/>
      <c r="S618" s="74"/>
      <c r="T618" s="66"/>
      <c r="U618" s="76"/>
      <c r="V618" s="76"/>
      <c r="W618" s="76"/>
      <c r="X618" s="76"/>
      <c r="Y618" s="382"/>
      <c r="Z618" s="87"/>
    </row>
    <row r="619" spans="1:26" ht="30.75" customHeight="1">
      <c r="A619" s="115" t="s">
        <v>112</v>
      </c>
      <c r="B619" s="24">
        <f>C619*1.25</f>
        <v>27.5</v>
      </c>
      <c r="C619" s="45">
        <v>22</v>
      </c>
      <c r="D619" s="22"/>
      <c r="E619" s="21"/>
      <c r="F619" s="21"/>
      <c r="G619" s="21"/>
      <c r="H619" s="238"/>
      <c r="I619" s="302"/>
      <c r="J619" s="17"/>
      <c r="M619" s="131"/>
      <c r="Q619" s="136"/>
      <c r="R619" s="74"/>
      <c r="S619" s="74"/>
      <c r="T619" s="79"/>
      <c r="U619" s="76"/>
      <c r="V619" s="76"/>
      <c r="W619" s="76"/>
      <c r="X619" s="76"/>
      <c r="Y619" s="382"/>
      <c r="Z619" s="87"/>
    </row>
    <row r="620" spans="1:26" ht="30.75" customHeight="1">
      <c r="A620" s="115" t="s">
        <v>43</v>
      </c>
      <c r="B620" s="24">
        <f>C620*1.33</f>
        <v>29.26</v>
      </c>
      <c r="C620" s="45">
        <v>22</v>
      </c>
      <c r="D620" s="22"/>
      <c r="E620" s="21"/>
      <c r="F620" s="21"/>
      <c r="G620" s="21"/>
      <c r="H620" s="238"/>
      <c r="I620" s="302"/>
      <c r="J620" s="17"/>
      <c r="M620" s="131"/>
      <c r="N620" s="40"/>
      <c r="O620" s="40"/>
      <c r="P620" s="40"/>
      <c r="Q620" s="136"/>
      <c r="R620" s="74"/>
      <c r="S620" s="74"/>
      <c r="T620" s="79"/>
      <c r="U620" s="76"/>
      <c r="V620" s="76"/>
      <c r="W620" s="76"/>
      <c r="X620" s="76"/>
      <c r="Y620" s="382"/>
      <c r="Z620" s="87"/>
    </row>
    <row r="621" spans="1:26" ht="30.75" customHeight="1">
      <c r="A621" s="25" t="s">
        <v>51</v>
      </c>
      <c r="B621" s="26">
        <f>C621*1.19</f>
        <v>11.899999999999999</v>
      </c>
      <c r="C621" s="26">
        <v>10</v>
      </c>
      <c r="D621" s="22"/>
      <c r="E621" s="21"/>
      <c r="F621" s="21"/>
      <c r="G621" s="21"/>
      <c r="H621" s="238"/>
      <c r="I621" s="302"/>
      <c r="J621" s="16"/>
      <c r="M621" s="74"/>
      <c r="Q621" s="215"/>
      <c r="R621" s="216"/>
      <c r="S621" s="216"/>
      <c r="T621" s="216"/>
      <c r="U621" s="179"/>
      <c r="V621" s="179"/>
      <c r="W621" s="179"/>
      <c r="X621" s="633"/>
      <c r="Y621" s="356"/>
      <c r="Z621" s="87"/>
    </row>
    <row r="622" spans="1:26" ht="30.75" customHeight="1">
      <c r="A622" s="89" t="s">
        <v>83</v>
      </c>
      <c r="B622" s="45">
        <v>10</v>
      </c>
      <c r="C622" s="45">
        <v>10</v>
      </c>
      <c r="D622" s="22"/>
      <c r="E622" s="21"/>
      <c r="F622" s="21"/>
      <c r="G622" s="21"/>
      <c r="H622" s="238"/>
      <c r="I622" s="302"/>
      <c r="J622" s="16"/>
      <c r="M622" s="131"/>
      <c r="Q622" s="215"/>
      <c r="R622" s="216"/>
      <c r="S622" s="216"/>
      <c r="T622" s="216"/>
      <c r="U622" s="214"/>
      <c r="V622" s="214"/>
      <c r="W622" s="214"/>
      <c r="X622" s="129"/>
      <c r="Y622" s="356"/>
      <c r="Z622" s="87"/>
    </row>
    <row r="623" spans="1:26" ht="30.75" customHeight="1">
      <c r="A623" s="674" t="s">
        <v>532</v>
      </c>
      <c r="B623" s="674"/>
      <c r="C623" s="674"/>
      <c r="D623" s="632">
        <v>200</v>
      </c>
      <c r="E623" s="21">
        <v>0.2</v>
      </c>
      <c r="F623" s="21">
        <v>0.1</v>
      </c>
      <c r="G623" s="21">
        <v>19.1</v>
      </c>
      <c r="H623" s="537">
        <f>G623*4+F623*9+E623*4</f>
        <v>78.10000000000001</v>
      </c>
      <c r="I623" s="300" t="s">
        <v>378</v>
      </c>
      <c r="J623" s="9"/>
      <c r="M623" s="74"/>
      <c r="Q623" s="136"/>
      <c r="R623" s="216"/>
      <c r="S623" s="216"/>
      <c r="T623" s="129"/>
      <c r="U623" s="129"/>
      <c r="V623" s="129"/>
      <c r="W623" s="129"/>
      <c r="X623" s="129"/>
      <c r="Y623" s="370"/>
      <c r="Z623" s="87"/>
    </row>
    <row r="624" spans="1:26" ht="30" customHeight="1">
      <c r="A624" s="89" t="s">
        <v>81</v>
      </c>
      <c r="B624" s="437">
        <f>C624*1.14</f>
        <v>26.22</v>
      </c>
      <c r="C624" s="61">
        <v>23</v>
      </c>
      <c r="D624" s="1"/>
      <c r="E624" s="2"/>
      <c r="F624" s="2"/>
      <c r="G624" s="2"/>
      <c r="H624" s="3"/>
      <c r="I624" s="304"/>
      <c r="J624" s="9"/>
      <c r="M624" s="74"/>
      <c r="Q624" s="213"/>
      <c r="R624" s="657"/>
      <c r="S624" s="657"/>
      <c r="T624" s="78"/>
      <c r="U624" s="216"/>
      <c r="V624" s="635"/>
      <c r="W624" s="635"/>
      <c r="X624" s="633"/>
      <c r="Y624" s="356"/>
      <c r="Z624" s="87"/>
    </row>
    <row r="625" spans="1:26" ht="30" customHeight="1">
      <c r="A625" s="59" t="s">
        <v>473</v>
      </c>
      <c r="B625" s="156">
        <f>C625*1.05</f>
        <v>18.900000000000002</v>
      </c>
      <c r="C625" s="219">
        <v>18</v>
      </c>
      <c r="D625" s="1"/>
      <c r="E625" s="2"/>
      <c r="F625" s="2"/>
      <c r="G625" s="2"/>
      <c r="H625" s="3"/>
      <c r="I625" s="304"/>
      <c r="J625" s="9"/>
      <c r="M625" s="129"/>
      <c r="Q625" s="136"/>
      <c r="R625" s="138"/>
      <c r="S625" s="216"/>
      <c r="T625" s="66"/>
      <c r="U625" s="633"/>
      <c r="V625" s="633"/>
      <c r="W625" s="633"/>
      <c r="X625" s="633"/>
      <c r="Y625" s="356"/>
      <c r="Z625" s="87"/>
    </row>
    <row r="626" spans="1:27" s="83" customFormat="1" ht="30" customHeight="1">
      <c r="A626" s="89" t="s">
        <v>39</v>
      </c>
      <c r="B626" s="58">
        <v>15</v>
      </c>
      <c r="C626" s="58">
        <v>15</v>
      </c>
      <c r="D626" s="47"/>
      <c r="E626" s="50"/>
      <c r="F626" s="50"/>
      <c r="G626" s="50"/>
      <c r="H626" s="46"/>
      <c r="I626" s="308"/>
      <c r="J626" s="36"/>
      <c r="M626" s="74"/>
      <c r="N626" s="80"/>
      <c r="O626" s="80"/>
      <c r="P626" s="80"/>
      <c r="Q626" s="136"/>
      <c r="R626" s="379"/>
      <c r="S626" s="216"/>
      <c r="T626" s="66"/>
      <c r="U626" s="633"/>
      <c r="V626" s="633"/>
      <c r="W626" s="633"/>
      <c r="X626" s="633"/>
      <c r="Y626" s="356"/>
      <c r="Z626" s="87"/>
      <c r="AA626" s="80"/>
    </row>
    <row r="627" spans="1:32" ht="30" customHeight="1">
      <c r="A627" s="674" t="s">
        <v>34</v>
      </c>
      <c r="B627" s="674"/>
      <c r="C627" s="674"/>
      <c r="D627" s="1">
        <v>40</v>
      </c>
      <c r="E627" s="2">
        <v>1.4</v>
      </c>
      <c r="F627" s="2">
        <v>0.2</v>
      </c>
      <c r="G627" s="2">
        <v>18.8</v>
      </c>
      <c r="H627" s="3">
        <v>83</v>
      </c>
      <c r="I627" s="294"/>
      <c r="J627" s="9"/>
      <c r="M627" s="76"/>
      <c r="S627" s="87"/>
      <c r="T627" s="87"/>
      <c r="U627" s="87"/>
      <c r="V627" s="87"/>
      <c r="W627" s="87"/>
      <c r="X627" s="87"/>
      <c r="Y627" s="87"/>
      <c r="Z627" s="87"/>
      <c r="AA627" s="87"/>
      <c r="AB627" s="87"/>
      <c r="AC627" s="87"/>
      <c r="AD627" s="87"/>
      <c r="AE627" s="87"/>
      <c r="AF627" s="87"/>
    </row>
    <row r="628" spans="1:32" ht="30" customHeight="1">
      <c r="A628" s="675" t="s">
        <v>145</v>
      </c>
      <c r="B628" s="675"/>
      <c r="C628" s="675"/>
      <c r="D628" s="1">
        <v>40</v>
      </c>
      <c r="E628" s="2"/>
      <c r="F628" s="2"/>
      <c r="G628" s="2"/>
      <c r="H628" s="3"/>
      <c r="I628" s="294"/>
      <c r="J628" s="9"/>
      <c r="M628" s="75"/>
      <c r="S628" s="87"/>
      <c r="T628" s="681"/>
      <c r="U628" s="681"/>
      <c r="V628" s="681"/>
      <c r="W628" s="66"/>
      <c r="X628" s="633"/>
      <c r="Y628" s="633"/>
      <c r="Z628" s="633"/>
      <c r="AA628" s="634"/>
      <c r="AB628" s="356"/>
      <c r="AC628" s="87"/>
      <c r="AD628" s="87"/>
      <c r="AE628" s="87"/>
      <c r="AF628" s="87"/>
    </row>
    <row r="629" spans="1:32" ht="30" customHeight="1">
      <c r="A629" s="674" t="s">
        <v>74</v>
      </c>
      <c r="B629" s="674"/>
      <c r="C629" s="674"/>
      <c r="D629" s="3">
        <v>60</v>
      </c>
      <c r="E629" s="2">
        <v>3</v>
      </c>
      <c r="F629" s="2">
        <v>0.8400000000000001</v>
      </c>
      <c r="G629" s="2">
        <v>24.299999999999997</v>
      </c>
      <c r="H629" s="3">
        <v>116.76</v>
      </c>
      <c r="I629" s="294"/>
      <c r="J629" s="9"/>
      <c r="S629" s="87"/>
      <c r="T629" s="139"/>
      <c r="U629" s="379"/>
      <c r="V629" s="78"/>
      <c r="W629" s="78"/>
      <c r="X629" s="129"/>
      <c r="Y629" s="129"/>
      <c r="Z629" s="129"/>
      <c r="AA629" s="78"/>
      <c r="AB629" s="356"/>
      <c r="AC629" s="87"/>
      <c r="AD629" s="87"/>
      <c r="AE629" s="87"/>
      <c r="AF629" s="87"/>
    </row>
    <row r="630" spans="1:32" ht="30" customHeight="1">
      <c r="A630" s="675" t="s">
        <v>72</v>
      </c>
      <c r="B630" s="675"/>
      <c r="C630" s="675"/>
      <c r="D630" s="1">
        <v>60</v>
      </c>
      <c r="E630" s="2"/>
      <c r="F630" s="2"/>
      <c r="G630" s="2"/>
      <c r="H630" s="3"/>
      <c r="I630" s="294"/>
      <c r="J630" s="9"/>
      <c r="S630" s="87"/>
      <c r="T630" s="136"/>
      <c r="U630" s="567"/>
      <c r="V630" s="78"/>
      <c r="W630" s="78"/>
      <c r="X630" s="568"/>
      <c r="Y630" s="568"/>
      <c r="Z630" s="568"/>
      <c r="AA630" s="135"/>
      <c r="AB630" s="416"/>
      <c r="AC630" s="87"/>
      <c r="AD630" s="87"/>
      <c r="AE630" s="87"/>
      <c r="AF630" s="87"/>
    </row>
    <row r="631" spans="1:32" ht="30" customHeight="1">
      <c r="A631" s="698" t="s">
        <v>202</v>
      </c>
      <c r="B631" s="698"/>
      <c r="C631" s="698"/>
      <c r="D631" s="266"/>
      <c r="E631" s="235">
        <f>E560+E592</f>
        <v>50.9</v>
      </c>
      <c r="F631" s="235">
        <f>F560+F592</f>
        <v>47.17</v>
      </c>
      <c r="G631" s="235">
        <f>G560+G592</f>
        <v>229.14999999999998</v>
      </c>
      <c r="H631" s="267">
        <f>H560+H592</f>
        <v>1545.1299999999999</v>
      </c>
      <c r="I631" s="302"/>
      <c r="J631" s="9"/>
      <c r="O631" s="83"/>
      <c r="P631" s="83"/>
      <c r="Q631" s="83"/>
      <c r="R631" s="83"/>
      <c r="S631" s="87"/>
      <c r="T631" s="136"/>
      <c r="U631" s="74"/>
      <c r="V631" s="379"/>
      <c r="W631" s="76"/>
      <c r="X631" s="633"/>
      <c r="Y631" s="633"/>
      <c r="Z631" s="633"/>
      <c r="AA631" s="531"/>
      <c r="AB631" s="356"/>
      <c r="AC631" s="87"/>
      <c r="AD631" s="87"/>
      <c r="AE631" s="87"/>
      <c r="AF631" s="87"/>
    </row>
    <row r="632" spans="1:32" ht="30" customHeight="1">
      <c r="A632" s="706" t="s">
        <v>17</v>
      </c>
      <c r="B632" s="706"/>
      <c r="C632" s="706"/>
      <c r="D632" s="706"/>
      <c r="E632" s="706"/>
      <c r="F632" s="706"/>
      <c r="G632" s="706"/>
      <c r="H632" s="707"/>
      <c r="I632" s="706"/>
      <c r="J632" s="9"/>
      <c r="S632" s="87"/>
      <c r="T632" s="139"/>
      <c r="U632" s="135"/>
      <c r="V632" s="78"/>
      <c r="W632" s="66"/>
      <c r="X632" s="129"/>
      <c r="Y632" s="129"/>
      <c r="Z632" s="129"/>
      <c r="AA632" s="78"/>
      <c r="AB632" s="129"/>
      <c r="AC632" s="87"/>
      <c r="AD632" s="87"/>
      <c r="AE632" s="87"/>
      <c r="AF632" s="87"/>
    </row>
    <row r="633" spans="1:32" ht="30" customHeight="1">
      <c r="A633" s="693" t="s">
        <v>1</v>
      </c>
      <c r="B633" s="676" t="s">
        <v>2</v>
      </c>
      <c r="C633" s="676" t="s">
        <v>3</v>
      </c>
      <c r="D633" s="676" t="s">
        <v>4</v>
      </c>
      <c r="E633" s="676"/>
      <c r="F633" s="676"/>
      <c r="G633" s="676"/>
      <c r="H633" s="676"/>
      <c r="I633" s="682" t="s">
        <v>201</v>
      </c>
      <c r="J633" s="9"/>
      <c r="M633" s="83"/>
      <c r="S633" s="87"/>
      <c r="T633" s="139"/>
      <c r="U633" s="78"/>
      <c r="V633" s="78"/>
      <c r="W633" s="216"/>
      <c r="X633" s="129"/>
      <c r="Y633" s="129"/>
      <c r="Z633" s="129"/>
      <c r="AA633" s="78"/>
      <c r="AB633" s="528"/>
      <c r="AC633" s="87"/>
      <c r="AD633" s="87"/>
      <c r="AE633" s="87"/>
      <c r="AF633" s="87"/>
    </row>
    <row r="634" spans="1:32" ht="30" customHeight="1">
      <c r="A634" s="693"/>
      <c r="B634" s="676"/>
      <c r="C634" s="676"/>
      <c r="D634" s="6" t="s">
        <v>5</v>
      </c>
      <c r="E634" s="62" t="s">
        <v>6</v>
      </c>
      <c r="F634" s="62" t="s">
        <v>7</v>
      </c>
      <c r="G634" s="62" t="s">
        <v>8</v>
      </c>
      <c r="H634" s="69" t="s">
        <v>9</v>
      </c>
      <c r="I634" s="682"/>
      <c r="J634" s="9"/>
      <c r="S634" s="87"/>
      <c r="T634" s="139"/>
      <c r="U634" s="379"/>
      <c r="V634" s="78"/>
      <c r="W634" s="78"/>
      <c r="X634" s="129"/>
      <c r="Y634" s="129"/>
      <c r="Z634" s="129"/>
      <c r="AA634" s="78"/>
      <c r="AB634" s="356"/>
      <c r="AC634" s="87"/>
      <c r="AD634" s="87"/>
      <c r="AE634" s="87"/>
      <c r="AF634" s="87"/>
    </row>
    <row r="635" spans="1:32" ht="30" customHeight="1">
      <c r="A635" s="690" t="s">
        <v>10</v>
      </c>
      <c r="B635" s="690"/>
      <c r="C635" s="690"/>
      <c r="D635" s="265">
        <f>D636+D640+D663+D670+207</f>
        <v>552</v>
      </c>
      <c r="E635" s="71">
        <f>E636+E640+E663+E670+E673+E677</f>
        <v>28.4</v>
      </c>
      <c r="F635" s="71">
        <f>F636+F640+F663+F670+F673+F677</f>
        <v>26.6</v>
      </c>
      <c r="G635" s="71">
        <f>G636+G640+G663+G670+G673+G677</f>
        <v>70.5</v>
      </c>
      <c r="H635" s="71">
        <f>H636+H640+H663+H670+H673+H677</f>
        <v>634.22</v>
      </c>
      <c r="I635" s="293"/>
      <c r="J635" s="9"/>
      <c r="S635" s="87"/>
      <c r="T635" s="139"/>
      <c r="U635" s="379"/>
      <c r="V635" s="78"/>
      <c r="W635" s="78"/>
      <c r="X635" s="129"/>
      <c r="Y635" s="129"/>
      <c r="Z635" s="129"/>
      <c r="AA635" s="78"/>
      <c r="AB635" s="356"/>
      <c r="AC635" s="87"/>
      <c r="AD635" s="87"/>
      <c r="AE635" s="87"/>
      <c r="AF635" s="87"/>
    </row>
    <row r="636" spans="1:32" ht="30" customHeight="1">
      <c r="A636" s="672" t="s">
        <v>409</v>
      </c>
      <c r="B636" s="672"/>
      <c r="C636" s="672"/>
      <c r="D636" s="223" t="s">
        <v>410</v>
      </c>
      <c r="E636" s="63">
        <v>5.8</v>
      </c>
      <c r="F636" s="63">
        <v>6.4</v>
      </c>
      <c r="G636" s="63">
        <v>7.9</v>
      </c>
      <c r="H636" s="3">
        <f>E636*4+F636*9+G636*4</f>
        <v>112.4</v>
      </c>
      <c r="I636" s="294" t="s">
        <v>408</v>
      </c>
      <c r="J636" s="9"/>
      <c r="S636" s="87"/>
      <c r="T636" s="136"/>
      <c r="U636" s="78"/>
      <c r="V636" s="78"/>
      <c r="W636" s="216"/>
      <c r="X636" s="129"/>
      <c r="Y636" s="129"/>
      <c r="Z636" s="129"/>
      <c r="AA636" s="78"/>
      <c r="AB636" s="370"/>
      <c r="AC636" s="87"/>
      <c r="AD636" s="87"/>
      <c r="AE636" s="87"/>
      <c r="AF636" s="87"/>
    </row>
    <row r="637" spans="1:32" ht="30" customHeight="1">
      <c r="A637" s="101" t="s">
        <v>393</v>
      </c>
      <c r="B637" s="61">
        <v>20</v>
      </c>
      <c r="C637" s="61">
        <v>20</v>
      </c>
      <c r="D637" s="1"/>
      <c r="E637" s="2"/>
      <c r="F637" s="2"/>
      <c r="G637" s="2"/>
      <c r="H637" s="3"/>
      <c r="I637" s="294"/>
      <c r="J637" s="9"/>
      <c r="L637" s="40" t="s">
        <v>18</v>
      </c>
      <c r="M637" s="40"/>
      <c r="O637" s="80" t="s">
        <v>17</v>
      </c>
      <c r="S637" s="87"/>
      <c r="T637" s="139"/>
      <c r="U637" s="379"/>
      <c r="V637" s="78"/>
      <c r="W637" s="78"/>
      <c r="X637" s="129"/>
      <c r="Y637" s="129"/>
      <c r="Z637" s="129"/>
      <c r="AA637" s="78"/>
      <c r="AB637" s="356"/>
      <c r="AC637" s="87"/>
      <c r="AD637" s="87"/>
      <c r="AE637" s="87"/>
      <c r="AF637" s="87"/>
    </row>
    <row r="638" spans="1:32" ht="30" customHeight="1">
      <c r="A638" s="59" t="s">
        <v>70</v>
      </c>
      <c r="B638" s="23">
        <v>5</v>
      </c>
      <c r="C638" s="23">
        <v>5</v>
      </c>
      <c r="D638" s="22"/>
      <c r="E638" s="63"/>
      <c r="F638" s="224"/>
      <c r="G638" s="63"/>
      <c r="H638" s="3"/>
      <c r="I638" s="304"/>
      <c r="J638" s="9"/>
      <c r="L638" s="27" t="s">
        <v>34</v>
      </c>
      <c r="M638" s="80">
        <f>+D830+D772</f>
        <v>60</v>
      </c>
      <c r="O638" s="27" t="s">
        <v>34</v>
      </c>
      <c r="P638" s="80">
        <f>D677+D740</f>
        <v>40</v>
      </c>
      <c r="S638" s="87"/>
      <c r="T638" s="215"/>
      <c r="U638" s="379"/>
      <c r="V638" s="78"/>
      <c r="W638" s="78"/>
      <c r="X638" s="129"/>
      <c r="Y638" s="129"/>
      <c r="Z638" s="129"/>
      <c r="AA638" s="78"/>
      <c r="AB638" s="356"/>
      <c r="AC638" s="87"/>
      <c r="AD638" s="87"/>
      <c r="AE638" s="87"/>
      <c r="AF638" s="87"/>
    </row>
    <row r="639" spans="1:32" ht="30" customHeight="1">
      <c r="A639" s="89" t="s">
        <v>58</v>
      </c>
      <c r="B639" s="57">
        <v>11</v>
      </c>
      <c r="C639" s="58">
        <v>10</v>
      </c>
      <c r="D639" s="218"/>
      <c r="E639" s="225"/>
      <c r="F639" s="225"/>
      <c r="G639" s="225"/>
      <c r="H639" s="233"/>
      <c r="I639" s="296"/>
      <c r="J639" s="9"/>
      <c r="L639" s="28" t="s">
        <v>35</v>
      </c>
      <c r="M639" s="82">
        <f>D832+D774+C762</f>
        <v>88</v>
      </c>
      <c r="O639" s="28" t="s">
        <v>35</v>
      </c>
      <c r="P639" s="82">
        <f>B643+D742+B649+C637+C713+C717</f>
        <v>109</v>
      </c>
      <c r="S639" s="522"/>
      <c r="T639" s="136"/>
      <c r="U639" s="74"/>
      <c r="V639" s="74"/>
      <c r="W639" s="78"/>
      <c r="X639" s="76"/>
      <c r="Y639" s="76"/>
      <c r="Z639" s="76"/>
      <c r="AA639" s="74"/>
      <c r="AB639" s="382"/>
      <c r="AC639" s="87"/>
      <c r="AD639" s="87"/>
      <c r="AE639" s="87"/>
      <c r="AF639" s="87"/>
    </row>
    <row r="640" spans="1:32" ht="30" customHeight="1">
      <c r="A640" s="671" t="s">
        <v>475</v>
      </c>
      <c r="B640" s="686"/>
      <c r="C640" s="686"/>
      <c r="D640" s="1">
        <v>100</v>
      </c>
      <c r="E640" s="2">
        <v>17.4</v>
      </c>
      <c r="F640" s="2">
        <v>14.2</v>
      </c>
      <c r="G640" s="2">
        <v>10.2</v>
      </c>
      <c r="H640" s="3">
        <f>E640*4+F640*9+G640*4</f>
        <v>238.2</v>
      </c>
      <c r="I640" s="297" t="s">
        <v>476</v>
      </c>
      <c r="J640" s="9"/>
      <c r="L640" s="28" t="s">
        <v>65</v>
      </c>
      <c r="M640" s="82">
        <f>C801</f>
        <v>3</v>
      </c>
      <c r="O640" s="28" t="s">
        <v>65</v>
      </c>
      <c r="P640" s="82"/>
      <c r="S640" s="87"/>
      <c r="T640" s="87"/>
      <c r="U640" s="87"/>
      <c r="V640" s="87"/>
      <c r="W640" s="87"/>
      <c r="X640" s="87"/>
      <c r="Y640" s="87"/>
      <c r="Z640" s="87"/>
      <c r="AA640" s="87"/>
      <c r="AB640" s="87"/>
      <c r="AC640" s="87"/>
      <c r="AD640" s="87"/>
      <c r="AE640" s="87"/>
      <c r="AF640" s="87"/>
    </row>
    <row r="641" spans="1:32" s="40" customFormat="1" ht="30" customHeight="1">
      <c r="A641" s="132" t="s">
        <v>328</v>
      </c>
      <c r="B641" s="37">
        <f>C641*1.17</f>
        <v>29.25</v>
      </c>
      <c r="C641" s="33">
        <v>25</v>
      </c>
      <c r="D641" s="632"/>
      <c r="E641" s="21"/>
      <c r="F641" s="21"/>
      <c r="G641" s="21"/>
      <c r="H641" s="21"/>
      <c r="I641" s="297"/>
      <c r="J641" s="9"/>
      <c r="K641" s="80"/>
      <c r="L641" s="29" t="s">
        <v>66</v>
      </c>
      <c r="M641" s="82">
        <f>C824</f>
        <v>45</v>
      </c>
      <c r="N641" s="80"/>
      <c r="O641" s="29" t="s">
        <v>66</v>
      </c>
      <c r="P641" s="82">
        <f>C720+C701</f>
        <v>70</v>
      </c>
      <c r="Q641" s="80"/>
      <c r="R641" s="80"/>
      <c r="S641" s="87"/>
      <c r="T641" s="87"/>
      <c r="U641" s="87"/>
      <c r="V641" s="87"/>
      <c r="W641" s="87"/>
      <c r="X641" s="87"/>
      <c r="Y641" s="87"/>
      <c r="Z641" s="87"/>
      <c r="AA641" s="87"/>
      <c r="AB641" s="87"/>
      <c r="AC641" s="87"/>
      <c r="AD641" s="87"/>
      <c r="AE641" s="87"/>
      <c r="AF641" s="87"/>
    </row>
    <row r="642" spans="1:16" ht="30" customHeight="1">
      <c r="A642" s="132" t="s">
        <v>477</v>
      </c>
      <c r="B642" s="37">
        <f>C642*1.054</f>
        <v>47.43</v>
      </c>
      <c r="C642" s="149">
        <v>45</v>
      </c>
      <c r="D642" s="632"/>
      <c r="E642" s="21"/>
      <c r="F642" s="21"/>
      <c r="G642" s="21"/>
      <c r="H642" s="21"/>
      <c r="I642" s="432"/>
      <c r="J642" s="9"/>
      <c r="K642" s="40"/>
      <c r="L642" s="29" t="s">
        <v>59</v>
      </c>
      <c r="M642" s="82">
        <f>C765</f>
        <v>64</v>
      </c>
      <c r="O642" s="29" t="s">
        <v>59</v>
      </c>
      <c r="P642" s="82"/>
    </row>
    <row r="643" spans="1:16" ht="30" customHeight="1">
      <c r="A643" s="100" t="s">
        <v>42</v>
      </c>
      <c r="B643" s="161">
        <v>14</v>
      </c>
      <c r="C643" s="161">
        <v>14</v>
      </c>
      <c r="D643" s="632"/>
      <c r="E643" s="50"/>
      <c r="F643" s="50"/>
      <c r="G643" s="50"/>
      <c r="H643" s="46"/>
      <c r="I643" s="325"/>
      <c r="J643" s="9"/>
      <c r="L643" s="28" t="s">
        <v>22</v>
      </c>
      <c r="M643" s="82">
        <f>C787+C757</f>
        <v>50</v>
      </c>
      <c r="O643" s="28" t="s">
        <v>22</v>
      </c>
      <c r="P643" s="82">
        <f>C697+C664</f>
        <v>164</v>
      </c>
    </row>
    <row r="644" spans="1:16" ht="30" customHeight="1">
      <c r="A644" s="25" t="s">
        <v>63</v>
      </c>
      <c r="B644" s="149">
        <v>17</v>
      </c>
      <c r="C644" s="149">
        <v>17</v>
      </c>
      <c r="D644" s="632"/>
      <c r="E644" s="43"/>
      <c r="F644" s="43"/>
      <c r="G644" s="43"/>
      <c r="H644" s="22"/>
      <c r="I644" s="426"/>
      <c r="J644" s="9"/>
      <c r="L644" s="28" t="s">
        <v>24</v>
      </c>
      <c r="M644" s="82">
        <f>C780+C778+C786+C791+C794+C760+C750+C793</f>
        <v>206</v>
      </c>
      <c r="O644" s="28" t="s">
        <v>24</v>
      </c>
      <c r="P644" s="82">
        <f>C671+C715+C696+C702+C704+C705+C691++C681+C694+C645+C683</f>
        <v>254.9</v>
      </c>
    </row>
    <row r="645" spans="1:16" ht="30" customHeight="1">
      <c r="A645" s="100" t="s">
        <v>51</v>
      </c>
      <c r="B645" s="161">
        <f>C645*1.19</f>
        <v>35.699999999999996</v>
      </c>
      <c r="C645" s="161">
        <v>30</v>
      </c>
      <c r="D645" s="632"/>
      <c r="E645" s="50"/>
      <c r="F645" s="50"/>
      <c r="G645" s="50"/>
      <c r="H645" s="46"/>
      <c r="I645" s="325"/>
      <c r="J645" s="9"/>
      <c r="L645" s="28" t="s">
        <v>21</v>
      </c>
      <c r="M645" s="82">
        <f>+D771+C769</f>
        <v>112</v>
      </c>
      <c r="O645" s="28" t="s">
        <v>21</v>
      </c>
      <c r="P645" s="82">
        <f>C676</f>
        <v>7</v>
      </c>
    </row>
    <row r="646" spans="1:18" ht="30" customHeight="1">
      <c r="A646" s="100" t="s">
        <v>70</v>
      </c>
      <c r="B646" s="161">
        <v>4</v>
      </c>
      <c r="C646" s="161">
        <v>4</v>
      </c>
      <c r="D646" s="632"/>
      <c r="E646" s="50"/>
      <c r="F646" s="50"/>
      <c r="G646" s="50"/>
      <c r="H646" s="46"/>
      <c r="I646" s="325"/>
      <c r="J646" s="9"/>
      <c r="L646" s="28" t="s">
        <v>25</v>
      </c>
      <c r="M646" s="82">
        <f>C828</f>
        <v>20</v>
      </c>
      <c r="N646" s="40"/>
      <c r="O646" s="28" t="s">
        <v>25</v>
      </c>
      <c r="P646" s="81"/>
      <c r="Q646" s="40"/>
      <c r="R646" s="40"/>
    </row>
    <row r="647" spans="1:16" ht="30" customHeight="1">
      <c r="A647" s="100" t="s">
        <v>338</v>
      </c>
      <c r="B647" s="161"/>
      <c r="C647" s="161">
        <v>15</v>
      </c>
      <c r="D647" s="632"/>
      <c r="E647" s="50"/>
      <c r="F647" s="50"/>
      <c r="G647" s="50"/>
      <c r="H647" s="46"/>
      <c r="I647" s="325"/>
      <c r="J647" s="9"/>
      <c r="L647" s="28" t="s">
        <v>61</v>
      </c>
      <c r="O647" s="28" t="s">
        <v>61</v>
      </c>
      <c r="P647" s="80">
        <f>D734</f>
        <v>200</v>
      </c>
    </row>
    <row r="648" spans="1:16" ht="30" customHeight="1">
      <c r="A648" s="25" t="s">
        <v>91</v>
      </c>
      <c r="B648" s="161">
        <v>6</v>
      </c>
      <c r="C648" s="161">
        <v>6</v>
      </c>
      <c r="D648" s="632"/>
      <c r="E648" s="50"/>
      <c r="F648" s="50"/>
      <c r="G648" s="50"/>
      <c r="H648" s="46"/>
      <c r="I648" s="325"/>
      <c r="J648" s="9"/>
      <c r="L648" s="28" t="s">
        <v>20</v>
      </c>
      <c r="M648" s="82">
        <f>C770+C829</f>
        <v>27</v>
      </c>
      <c r="O648" s="28" t="s">
        <v>20</v>
      </c>
      <c r="P648" s="81">
        <f>B675++C707</f>
        <v>15.5</v>
      </c>
    </row>
    <row r="649" spans="1:16" ht="30" customHeight="1">
      <c r="A649" s="25" t="s">
        <v>478</v>
      </c>
      <c r="B649" s="161">
        <v>7</v>
      </c>
      <c r="C649" s="161">
        <v>7</v>
      </c>
      <c r="D649" s="632"/>
      <c r="E649" s="50"/>
      <c r="F649" s="50"/>
      <c r="G649" s="50"/>
      <c r="H649" s="46"/>
      <c r="I649" s="325"/>
      <c r="J649" s="9"/>
      <c r="L649" s="28" t="s">
        <v>26</v>
      </c>
      <c r="M649" s="82"/>
      <c r="O649" s="28" t="s">
        <v>26</v>
      </c>
      <c r="P649" s="82"/>
    </row>
    <row r="650" spans="1:15" ht="30" customHeight="1">
      <c r="A650" s="89" t="s">
        <v>117</v>
      </c>
      <c r="B650" s="162">
        <v>2</v>
      </c>
      <c r="C650" s="162">
        <v>2</v>
      </c>
      <c r="D650" s="632"/>
      <c r="E650" s="38"/>
      <c r="F650" s="38"/>
      <c r="G650" s="38"/>
      <c r="H650" s="57"/>
      <c r="I650" s="324"/>
      <c r="J650" s="9"/>
      <c r="L650" s="27" t="s">
        <v>79</v>
      </c>
      <c r="O650" s="27" t="s">
        <v>79</v>
      </c>
    </row>
    <row r="651" spans="1:16" ht="30" customHeight="1">
      <c r="A651" s="692" t="s">
        <v>95</v>
      </c>
      <c r="B651" s="692"/>
      <c r="C651" s="692"/>
      <c r="D651" s="692"/>
      <c r="E651" s="692"/>
      <c r="F651" s="692"/>
      <c r="G651" s="692"/>
      <c r="H651" s="692"/>
      <c r="I651" s="692"/>
      <c r="J651" s="9"/>
      <c r="L651" s="28" t="s">
        <v>27</v>
      </c>
      <c r="M651" s="81">
        <f>C768</f>
        <v>2</v>
      </c>
      <c r="O651" s="28" t="s">
        <v>27</v>
      </c>
      <c r="P651" s="81">
        <f>B674</f>
        <v>2</v>
      </c>
    </row>
    <row r="652" spans="1:16" ht="30" customHeight="1">
      <c r="A652" s="671" t="s">
        <v>582</v>
      </c>
      <c r="B652" s="671"/>
      <c r="C652" s="671"/>
      <c r="D652" s="1">
        <v>100</v>
      </c>
      <c r="E652" s="2">
        <v>14.8</v>
      </c>
      <c r="F652" s="2">
        <v>13.7</v>
      </c>
      <c r="G652" s="2">
        <v>12</v>
      </c>
      <c r="H652" s="3">
        <f>E652*4+F652*9+G652*4</f>
        <v>230.5</v>
      </c>
      <c r="I652" s="294" t="s">
        <v>547</v>
      </c>
      <c r="J652" s="36"/>
      <c r="L652" s="27" t="s">
        <v>199</v>
      </c>
      <c r="M652" s="262"/>
      <c r="O652" s="27" t="s">
        <v>199</v>
      </c>
      <c r="P652" s="262"/>
    </row>
    <row r="653" spans="1:16" ht="30" customHeight="1">
      <c r="A653" s="132" t="s">
        <v>328</v>
      </c>
      <c r="B653" s="37">
        <f>C653*1.17</f>
        <v>43.29</v>
      </c>
      <c r="C653" s="57">
        <v>37</v>
      </c>
      <c r="D653" s="1"/>
      <c r="E653" s="2"/>
      <c r="F653" s="2"/>
      <c r="G653" s="2"/>
      <c r="H653" s="3"/>
      <c r="I653" s="294"/>
      <c r="J653" s="9"/>
      <c r="K653" s="83"/>
      <c r="L653" s="28" t="s">
        <v>67</v>
      </c>
      <c r="M653" s="82">
        <f>C753+C755</f>
        <v>84</v>
      </c>
      <c r="O653" s="28" t="s">
        <v>67</v>
      </c>
      <c r="P653" s="82">
        <f>C689+C641+C688+C710+C711</f>
        <v>116</v>
      </c>
    </row>
    <row r="654" spans="1:16" ht="30" customHeight="1">
      <c r="A654" s="132" t="s">
        <v>45</v>
      </c>
      <c r="B654" s="37">
        <f>C654*1.36</f>
        <v>50.32</v>
      </c>
      <c r="C654" s="57">
        <v>37</v>
      </c>
      <c r="D654" s="22"/>
      <c r="E654" s="43"/>
      <c r="F654" s="43"/>
      <c r="G654" s="43"/>
      <c r="H654" s="26"/>
      <c r="I654" s="43"/>
      <c r="J654" s="9"/>
      <c r="L654" s="27" t="s">
        <v>200</v>
      </c>
      <c r="M654" s="263">
        <f>C798</f>
        <v>114</v>
      </c>
      <c r="O654" s="27" t="s">
        <v>200</v>
      </c>
      <c r="P654" s="263"/>
    </row>
    <row r="655" spans="1:16" ht="30" customHeight="1">
      <c r="A655" s="132" t="s">
        <v>46</v>
      </c>
      <c r="B655" s="37">
        <f>C655*1.18</f>
        <v>43.66</v>
      </c>
      <c r="C655" s="57">
        <v>37</v>
      </c>
      <c r="D655" s="22"/>
      <c r="E655" s="43"/>
      <c r="F655" s="43"/>
      <c r="G655" s="43"/>
      <c r="H655" s="26"/>
      <c r="I655" s="295"/>
      <c r="J655" s="9"/>
      <c r="L655" s="27" t="s">
        <v>62</v>
      </c>
      <c r="M655" s="82">
        <f>C784</f>
        <v>18</v>
      </c>
      <c r="O655" s="27" t="s">
        <v>62</v>
      </c>
      <c r="P655" s="82">
        <f>C642</f>
        <v>45</v>
      </c>
    </row>
    <row r="656" spans="1:16" ht="30" customHeight="1">
      <c r="A656" s="147" t="s">
        <v>42</v>
      </c>
      <c r="B656" s="23">
        <v>18</v>
      </c>
      <c r="C656" s="23">
        <v>18</v>
      </c>
      <c r="D656" s="22"/>
      <c r="E656" s="43"/>
      <c r="F656" s="43"/>
      <c r="G656" s="43"/>
      <c r="H656" s="26"/>
      <c r="I656" s="295"/>
      <c r="J656" s="9"/>
      <c r="L656" s="28" t="s">
        <v>28</v>
      </c>
      <c r="M656" s="82"/>
      <c r="O656" s="28" t="s">
        <v>28</v>
      </c>
      <c r="P656" s="82"/>
    </row>
    <row r="657" spans="1:16" ht="30.75" customHeight="1">
      <c r="A657" s="53" t="s">
        <v>326</v>
      </c>
      <c r="B657" s="23">
        <v>12</v>
      </c>
      <c r="C657" s="23">
        <v>12</v>
      </c>
      <c r="D657" s="22"/>
      <c r="E657" s="43"/>
      <c r="F657" s="43"/>
      <c r="G657" s="43"/>
      <c r="H657" s="26"/>
      <c r="I657" s="295"/>
      <c r="J657" s="9"/>
      <c r="L657" s="30" t="s">
        <v>29</v>
      </c>
      <c r="M657" s="82"/>
      <c r="O657" s="30" t="s">
        <v>29</v>
      </c>
      <c r="P657" s="82">
        <f>C668+C644+B714</f>
        <v>58</v>
      </c>
    </row>
    <row r="658" spans="1:16" ht="30.75" customHeight="1">
      <c r="A658" s="101" t="s">
        <v>51</v>
      </c>
      <c r="B658" s="437">
        <f>C658*1.19</f>
        <v>9.52</v>
      </c>
      <c r="C658" s="146">
        <v>8</v>
      </c>
      <c r="D658" s="22"/>
      <c r="E658" s="43"/>
      <c r="F658" s="43"/>
      <c r="G658" s="43"/>
      <c r="H658" s="26"/>
      <c r="I658" s="295"/>
      <c r="J658" s="10"/>
      <c r="L658" s="72" t="s">
        <v>85</v>
      </c>
      <c r="M658" s="82"/>
      <c r="O658" s="72" t="s">
        <v>85</v>
      </c>
      <c r="P658" s="82"/>
    </row>
    <row r="659" spans="1:16" ht="30.75" customHeight="1">
      <c r="A659" s="25" t="s">
        <v>91</v>
      </c>
      <c r="B659" s="57">
        <v>4</v>
      </c>
      <c r="C659" s="57">
        <v>4</v>
      </c>
      <c r="D659" s="22"/>
      <c r="E659" s="50"/>
      <c r="F659" s="43"/>
      <c r="G659" s="43"/>
      <c r="H659" s="26"/>
      <c r="I659" s="295"/>
      <c r="J659" s="10"/>
      <c r="L659" s="27" t="s">
        <v>30</v>
      </c>
      <c r="M659" s="82"/>
      <c r="O659" s="27" t="s">
        <v>30</v>
      </c>
      <c r="P659" s="82"/>
    </row>
    <row r="660" spans="1:16" ht="30.75" customHeight="1">
      <c r="A660" s="59" t="s">
        <v>525</v>
      </c>
      <c r="B660" s="32">
        <f>C660*1.28</f>
        <v>1.28</v>
      </c>
      <c r="C660" s="23">
        <v>1</v>
      </c>
      <c r="D660" s="1"/>
      <c r="E660" s="2"/>
      <c r="F660" s="50"/>
      <c r="G660" s="50"/>
      <c r="H660" s="46"/>
      <c r="I660" s="514"/>
      <c r="J660" s="10"/>
      <c r="L660" s="27" t="s">
        <v>31</v>
      </c>
      <c r="M660" s="82">
        <f>C802+C796</f>
        <v>20</v>
      </c>
      <c r="O660" s="27" t="s">
        <v>31</v>
      </c>
      <c r="P660" s="82">
        <f>++C708</f>
        <v>5</v>
      </c>
    </row>
    <row r="661" spans="1:16" ht="30.75" customHeight="1">
      <c r="A661" s="102" t="s">
        <v>327</v>
      </c>
      <c r="B661" s="400">
        <v>10</v>
      </c>
      <c r="C661" s="400">
        <v>10</v>
      </c>
      <c r="D661" s="282"/>
      <c r="E661" s="43"/>
      <c r="F661" s="43"/>
      <c r="G661" s="43"/>
      <c r="H661" s="26"/>
      <c r="I661" s="43"/>
      <c r="J661" s="10"/>
      <c r="L661" s="28" t="s">
        <v>68</v>
      </c>
      <c r="O661" s="28" t="s">
        <v>68</v>
      </c>
      <c r="P661" s="82">
        <f>C639</f>
        <v>10</v>
      </c>
    </row>
    <row r="662" spans="1:16" ht="30.75" customHeight="1">
      <c r="A662" s="101" t="s">
        <v>44</v>
      </c>
      <c r="B662" s="64">
        <v>2</v>
      </c>
      <c r="C662" s="146">
        <v>2</v>
      </c>
      <c r="D662" s="22"/>
      <c r="E662" s="43"/>
      <c r="F662" s="43"/>
      <c r="G662" s="43"/>
      <c r="H662" s="26"/>
      <c r="I662" s="295"/>
      <c r="J662" s="10"/>
      <c r="L662" s="27" t="s">
        <v>32</v>
      </c>
      <c r="M662" s="82">
        <f>+C766+C795+C826</f>
        <v>15</v>
      </c>
      <c r="O662" s="27" t="s">
        <v>32</v>
      </c>
      <c r="P662" s="82">
        <f>+C706+C669+C646+C638+C722</f>
        <v>26</v>
      </c>
    </row>
    <row r="663" spans="1:16" ht="30.75" customHeight="1">
      <c r="A663" s="677" t="s">
        <v>420</v>
      </c>
      <c r="B663" s="677"/>
      <c r="C663" s="677"/>
      <c r="D663" s="1">
        <v>180</v>
      </c>
      <c r="E663" s="63">
        <v>3.9</v>
      </c>
      <c r="F663" s="63">
        <v>5.9</v>
      </c>
      <c r="G663" s="63">
        <v>26.7</v>
      </c>
      <c r="H663" s="3">
        <f>E663*4+F663*9+G663*4</f>
        <v>175.5</v>
      </c>
      <c r="I663" s="297" t="s">
        <v>231</v>
      </c>
      <c r="J663" s="10"/>
      <c r="L663" s="27" t="s">
        <v>23</v>
      </c>
      <c r="M663" s="82">
        <f>C799+C781+C763</f>
        <v>13</v>
      </c>
      <c r="O663" s="27" t="s">
        <v>23</v>
      </c>
      <c r="P663" s="82">
        <f>C718+C685</f>
        <v>7</v>
      </c>
    </row>
    <row r="664" spans="1:16" ht="30.75" customHeight="1">
      <c r="A664" s="20" t="s">
        <v>47</v>
      </c>
      <c r="B664" s="45">
        <f>C664*1.33</f>
        <v>204.82000000000002</v>
      </c>
      <c r="C664" s="23">
        <v>154</v>
      </c>
      <c r="D664" s="22"/>
      <c r="E664" s="43"/>
      <c r="F664" s="43"/>
      <c r="G664" s="43"/>
      <c r="H664" s="26"/>
      <c r="I664" s="297"/>
      <c r="J664" s="10"/>
      <c r="L664" s="28" t="s">
        <v>33</v>
      </c>
      <c r="M664" s="82">
        <f>+C761</f>
        <v>8</v>
      </c>
      <c r="O664" s="28" t="s">
        <v>33</v>
      </c>
      <c r="P664" s="82">
        <f>C693+C716+C716</f>
        <v>9.2</v>
      </c>
    </row>
    <row r="665" spans="1:15" ht="30.75" customHeight="1">
      <c r="A665" s="53" t="s">
        <v>48</v>
      </c>
      <c r="B665" s="45">
        <f>C665*1.43</f>
        <v>220.22</v>
      </c>
      <c r="C665" s="23">
        <v>154</v>
      </c>
      <c r="D665" s="22"/>
      <c r="E665" s="43"/>
      <c r="F665" s="43"/>
      <c r="G665" s="43"/>
      <c r="H665" s="26"/>
      <c r="I665" s="297"/>
      <c r="J665" s="10"/>
      <c r="L665" s="28" t="s">
        <v>78</v>
      </c>
      <c r="M665" s="81"/>
      <c r="O665" s="28" t="s">
        <v>78</v>
      </c>
    </row>
    <row r="666" spans="1:15" ht="30.75" customHeight="1">
      <c r="A666" s="20" t="s">
        <v>49</v>
      </c>
      <c r="B666" s="45">
        <f>C666*1.54</f>
        <v>237.16</v>
      </c>
      <c r="C666" s="23">
        <v>154</v>
      </c>
      <c r="D666" s="22"/>
      <c r="E666" s="43"/>
      <c r="F666" s="43"/>
      <c r="G666" s="43"/>
      <c r="H666" s="26"/>
      <c r="I666" s="297"/>
      <c r="J666" s="10"/>
      <c r="L666" s="264" t="s">
        <v>193</v>
      </c>
      <c r="O666" s="264" t="s">
        <v>193</v>
      </c>
    </row>
    <row r="667" spans="1:10" ht="30.75" customHeight="1">
      <c r="A667" s="20" t="s">
        <v>50</v>
      </c>
      <c r="B667" s="45">
        <f>C667*1.67</f>
        <v>257.18</v>
      </c>
      <c r="C667" s="23">
        <v>154</v>
      </c>
      <c r="D667" s="22"/>
      <c r="E667" s="43"/>
      <c r="F667" s="43"/>
      <c r="G667" s="43"/>
      <c r="H667" s="26"/>
      <c r="I667" s="297"/>
      <c r="J667" s="9"/>
    </row>
    <row r="668" spans="1:19" ht="30.75" customHeight="1">
      <c r="A668" s="53" t="s">
        <v>63</v>
      </c>
      <c r="B668" s="23">
        <v>29</v>
      </c>
      <c r="C668" s="23">
        <v>29</v>
      </c>
      <c r="D668" s="22"/>
      <c r="E668" s="43"/>
      <c r="F668" s="43"/>
      <c r="G668" s="43"/>
      <c r="H668" s="26"/>
      <c r="I668" s="297"/>
      <c r="J668" s="93"/>
      <c r="L668" s="475"/>
      <c r="M668" s="476"/>
      <c r="N668" s="492"/>
      <c r="O668" s="493"/>
      <c r="P668" s="494"/>
      <c r="Q668" s="495"/>
      <c r="R668" s="496"/>
      <c r="S668" s="496"/>
    </row>
    <row r="669" spans="1:19" ht="30.75" customHeight="1">
      <c r="A669" s="89" t="s">
        <v>40</v>
      </c>
      <c r="B669" s="23">
        <v>7</v>
      </c>
      <c r="C669" s="23">
        <v>7</v>
      </c>
      <c r="D669" s="43"/>
      <c r="E669" s="43"/>
      <c r="F669" s="43"/>
      <c r="G669" s="43"/>
      <c r="H669" s="26"/>
      <c r="I669" s="304"/>
      <c r="J669" s="93"/>
      <c r="L669" s="728"/>
      <c r="M669" s="728"/>
      <c r="N669" s="729"/>
      <c r="O669" s="729"/>
      <c r="P669" s="729"/>
      <c r="Q669" s="729"/>
      <c r="R669" s="729"/>
      <c r="S669" s="729"/>
    </row>
    <row r="670" spans="1:19" ht="30.75" customHeight="1">
      <c r="A670" s="671" t="s">
        <v>431</v>
      </c>
      <c r="B670" s="671"/>
      <c r="C670" s="671"/>
      <c r="D670" s="1">
        <v>30</v>
      </c>
      <c r="E670" s="2">
        <v>0.3</v>
      </c>
      <c r="F670" s="2">
        <v>0</v>
      </c>
      <c r="G670" s="2">
        <v>1.1</v>
      </c>
      <c r="H670" s="3">
        <f>E670*4+F670*9+G670*4</f>
        <v>5.6000000000000005</v>
      </c>
      <c r="I670" s="294" t="s">
        <v>221</v>
      </c>
      <c r="J670" s="93"/>
      <c r="L670" s="477"/>
      <c r="M670" s="478"/>
      <c r="N670" s="479"/>
      <c r="O670" s="479"/>
      <c r="P670" s="479"/>
      <c r="Q670" s="479"/>
      <c r="R670" s="479"/>
      <c r="S670" s="479"/>
    </row>
    <row r="671" spans="1:19" ht="30.75" customHeight="1">
      <c r="A671" s="59" t="s">
        <v>139</v>
      </c>
      <c r="B671" s="45">
        <f>C671*1.18</f>
        <v>35.4</v>
      </c>
      <c r="C671" s="23">
        <v>30</v>
      </c>
      <c r="D671" s="22"/>
      <c r="E671" s="22"/>
      <c r="F671" s="22"/>
      <c r="G671" s="22"/>
      <c r="H671" s="26"/>
      <c r="I671" s="295"/>
      <c r="J671" s="93"/>
      <c r="L671" s="480"/>
      <c r="M671" s="481"/>
      <c r="N671" s="730"/>
      <c r="O671" s="731"/>
      <c r="P671" s="731"/>
      <c r="Q671" s="731"/>
      <c r="R671" s="731"/>
      <c r="S671" s="482"/>
    </row>
    <row r="672" spans="1:20" ht="30.75" customHeight="1">
      <c r="A672" s="59" t="s">
        <v>140</v>
      </c>
      <c r="B672" s="45">
        <f>C672*1.02</f>
        <v>30.6</v>
      </c>
      <c r="C672" s="23">
        <v>30</v>
      </c>
      <c r="D672" s="221"/>
      <c r="E672" s="221"/>
      <c r="F672" s="221"/>
      <c r="G672" s="221"/>
      <c r="H672" s="534"/>
      <c r="I672" s="295"/>
      <c r="J672" s="93"/>
      <c r="L672" s="483"/>
      <c r="M672" s="481"/>
      <c r="N672" s="730"/>
      <c r="O672" s="731"/>
      <c r="P672" s="731"/>
      <c r="Q672" s="731"/>
      <c r="R672" s="731"/>
      <c r="S672" s="482"/>
      <c r="T672" s="633"/>
    </row>
    <row r="673" spans="1:20" ht="30.75" customHeight="1">
      <c r="A673" s="410" t="s">
        <v>371</v>
      </c>
      <c r="B673" s="410"/>
      <c r="C673" s="410"/>
      <c r="D673" s="244" t="s">
        <v>348</v>
      </c>
      <c r="E673" s="277">
        <v>0.3</v>
      </c>
      <c r="F673" s="277">
        <v>0</v>
      </c>
      <c r="G673" s="277">
        <v>15.2</v>
      </c>
      <c r="H673" s="3">
        <f>G673*4+F673*9+E673*4</f>
        <v>62</v>
      </c>
      <c r="I673" s="294" t="s">
        <v>372</v>
      </c>
      <c r="J673" s="93"/>
      <c r="L673" s="484"/>
      <c r="M673" s="481"/>
      <c r="N673" s="730"/>
      <c r="O673" s="497"/>
      <c r="P673" s="497"/>
      <c r="Q673" s="497"/>
      <c r="R673" s="497"/>
      <c r="S673" s="485"/>
      <c r="T673" s="633"/>
    </row>
    <row r="674" spans="1:20" ht="30" customHeight="1">
      <c r="A674" s="102" t="s">
        <v>113</v>
      </c>
      <c r="B674" s="57">
        <v>2</v>
      </c>
      <c r="C674" s="57">
        <v>2</v>
      </c>
      <c r="D674" s="22"/>
      <c r="E674" s="43"/>
      <c r="F674" s="43"/>
      <c r="G674" s="2"/>
      <c r="H674" s="3"/>
      <c r="I674" s="408"/>
      <c r="J674" s="93"/>
      <c r="L674" s="486"/>
      <c r="M674" s="487"/>
      <c r="N674" s="498"/>
      <c r="O674" s="499"/>
      <c r="P674" s="499"/>
      <c r="Q674" s="499"/>
      <c r="R674" s="499"/>
      <c r="S674" s="488"/>
      <c r="T674" s="414"/>
    </row>
    <row r="675" spans="1:20" ht="30" customHeight="1">
      <c r="A675" s="20" t="s">
        <v>39</v>
      </c>
      <c r="B675" s="58">
        <v>15</v>
      </c>
      <c r="C675" s="58">
        <v>15</v>
      </c>
      <c r="D675" s="58"/>
      <c r="E675" s="38"/>
      <c r="F675" s="38"/>
      <c r="G675" s="38"/>
      <c r="H675" s="57"/>
      <c r="I675" s="38"/>
      <c r="J675" s="93"/>
      <c r="L675" s="486"/>
      <c r="M675" s="487"/>
      <c r="N675" s="725"/>
      <c r="O675" s="725"/>
      <c r="P675" s="500"/>
      <c r="Q675" s="501"/>
      <c r="R675" s="500"/>
      <c r="S675" s="488"/>
      <c r="T675" s="414"/>
    </row>
    <row r="676" spans="1:20" ht="30" customHeight="1">
      <c r="A676" s="20" t="s">
        <v>41</v>
      </c>
      <c r="B676" s="22">
        <v>8</v>
      </c>
      <c r="C676" s="22">
        <v>7</v>
      </c>
      <c r="D676" s="22"/>
      <c r="E676" s="43"/>
      <c r="F676" s="43"/>
      <c r="G676" s="2"/>
      <c r="H676" s="3"/>
      <c r="I676" s="409"/>
      <c r="J676" s="93"/>
      <c r="L676" s="486"/>
      <c r="M676" s="487"/>
      <c r="N676" s="502"/>
      <c r="O676" s="499"/>
      <c r="P676" s="503"/>
      <c r="Q676" s="499"/>
      <c r="R676" s="503"/>
      <c r="S676" s="488"/>
      <c r="T676" s="414"/>
    </row>
    <row r="677" spans="1:20" ht="30" customHeight="1">
      <c r="A677" s="674" t="s">
        <v>34</v>
      </c>
      <c r="B677" s="674"/>
      <c r="C677" s="674"/>
      <c r="D677" s="1">
        <v>20</v>
      </c>
      <c r="E677" s="2">
        <v>0.7</v>
      </c>
      <c r="F677" s="2">
        <v>0.1</v>
      </c>
      <c r="G677" s="2">
        <v>9.4</v>
      </c>
      <c r="H677" s="3">
        <v>40.52</v>
      </c>
      <c r="I677" s="294"/>
      <c r="J677" s="93"/>
      <c r="L677" s="486"/>
      <c r="M677" s="487"/>
      <c r="N677" s="725"/>
      <c r="O677" s="725"/>
      <c r="P677" s="500"/>
      <c r="Q677" s="501"/>
      <c r="R677" s="500"/>
      <c r="S677" s="488"/>
      <c r="T677" s="414"/>
    </row>
    <row r="678" spans="1:20" ht="30" customHeight="1">
      <c r="A678" s="675" t="s">
        <v>145</v>
      </c>
      <c r="B678" s="675"/>
      <c r="C678" s="675"/>
      <c r="D678" s="1">
        <v>20</v>
      </c>
      <c r="E678" s="2"/>
      <c r="F678" s="2"/>
      <c r="G678" s="2"/>
      <c r="H678" s="3"/>
      <c r="I678" s="294"/>
      <c r="J678" s="93"/>
      <c r="L678" s="489"/>
      <c r="M678" s="482"/>
      <c r="N678" s="502"/>
      <c r="O678" s="499"/>
      <c r="P678" s="503"/>
      <c r="Q678" s="499"/>
      <c r="R678" s="503"/>
      <c r="S678" s="490"/>
      <c r="T678" s="414"/>
    </row>
    <row r="679" spans="1:27" s="40" customFormat="1" ht="30" customHeight="1">
      <c r="A679" s="690" t="s">
        <v>205</v>
      </c>
      <c r="B679" s="690"/>
      <c r="C679" s="690"/>
      <c r="D679" s="243">
        <f>D680+270+D709+D719+D734</f>
        <v>850</v>
      </c>
      <c r="E679" s="71">
        <f>E680+E686+E709+E719+E734+E740+E742</f>
        <v>31.524615384615387</v>
      </c>
      <c r="F679" s="71">
        <f>F680+F686+F709+F719+F734+F740+F742</f>
        <v>28.436923076923073</v>
      </c>
      <c r="G679" s="71">
        <f>G680+G686+G709+G719+G734+G740+G742</f>
        <v>118.17076923076922</v>
      </c>
      <c r="H679" s="71">
        <f>H680+H686+H709+H719+H734+H740+H742</f>
        <v>854.7138461538461</v>
      </c>
      <c r="I679" s="293"/>
      <c r="J679" s="93"/>
      <c r="L679" s="489"/>
      <c r="M679" s="482"/>
      <c r="N679" s="502"/>
      <c r="O679" s="499"/>
      <c r="P679" s="503"/>
      <c r="Q679" s="499"/>
      <c r="R679" s="503"/>
      <c r="S679" s="490"/>
      <c r="T679" s="416"/>
      <c r="U679" s="80"/>
      <c r="V679" s="80"/>
      <c r="W679" s="80"/>
      <c r="X679" s="80"/>
      <c r="Y679" s="80"/>
      <c r="Z679" s="80"/>
      <c r="AA679" s="80"/>
    </row>
    <row r="680" spans="1:20" ht="30" customHeight="1">
      <c r="A680" s="671" t="s">
        <v>535</v>
      </c>
      <c r="B680" s="671"/>
      <c r="C680" s="671"/>
      <c r="D680" s="1">
        <v>100</v>
      </c>
      <c r="E680" s="21">
        <v>0.9</v>
      </c>
      <c r="F680" s="21">
        <v>5</v>
      </c>
      <c r="G680" s="21">
        <v>3.5</v>
      </c>
      <c r="H680" s="238">
        <f>E680*4+F680*9+G680*4</f>
        <v>62.6</v>
      </c>
      <c r="I680" s="297" t="s">
        <v>534</v>
      </c>
      <c r="J680" s="93"/>
      <c r="L680" s="489"/>
      <c r="M680" s="489"/>
      <c r="N680" s="726"/>
      <c r="O680" s="726"/>
      <c r="P680" s="504"/>
      <c r="Q680" s="505"/>
      <c r="R680" s="504"/>
      <c r="S680" s="491"/>
      <c r="T680" s="416"/>
    </row>
    <row r="681" spans="1:20" ht="30" customHeight="1">
      <c r="A681" s="25" t="s">
        <v>75</v>
      </c>
      <c r="B681" s="43">
        <f>C681*1.02</f>
        <v>56.1</v>
      </c>
      <c r="C681" s="22">
        <v>55</v>
      </c>
      <c r="D681" s="22"/>
      <c r="E681" s="43"/>
      <c r="F681" s="43"/>
      <c r="G681" s="43"/>
      <c r="H681" s="26"/>
      <c r="I681" s="44"/>
      <c r="J681" s="10"/>
      <c r="L681" s="489"/>
      <c r="M681" s="727"/>
      <c r="N681" s="727"/>
      <c r="O681" s="727"/>
      <c r="P681" s="727"/>
      <c r="Q681" s="727"/>
      <c r="R681" s="727"/>
      <c r="S681" s="727"/>
      <c r="T681" s="416"/>
    </row>
    <row r="682" spans="1:20" ht="30" customHeight="1">
      <c r="A682" s="100" t="s">
        <v>89</v>
      </c>
      <c r="B682" s="43">
        <f>C682*1.18</f>
        <v>64.89999999999999</v>
      </c>
      <c r="C682" s="22">
        <v>55</v>
      </c>
      <c r="D682" s="22"/>
      <c r="E682" s="32"/>
      <c r="F682" s="32"/>
      <c r="G682" s="38"/>
      <c r="H682" s="57"/>
      <c r="I682" s="65"/>
      <c r="J682" s="17"/>
      <c r="L682" s="744"/>
      <c r="M682" s="744"/>
      <c r="N682" s="744"/>
      <c r="O682" s="744"/>
      <c r="P682" s="744"/>
      <c r="Q682" s="744"/>
      <c r="R682" s="744"/>
      <c r="S682" s="744"/>
      <c r="T682" s="416"/>
    </row>
    <row r="683" spans="1:20" ht="30" customHeight="1">
      <c r="A683" s="25" t="s">
        <v>492</v>
      </c>
      <c r="B683" s="43">
        <f>C683*1.02</f>
        <v>42.84</v>
      </c>
      <c r="C683" s="22">
        <v>42</v>
      </c>
      <c r="D683" s="22"/>
      <c r="E683" s="32"/>
      <c r="F683" s="38"/>
      <c r="G683" s="38"/>
      <c r="H683" s="57"/>
      <c r="I683" s="65"/>
      <c r="J683" s="17"/>
      <c r="L683" s="489"/>
      <c r="M683" s="727"/>
      <c r="N683" s="727"/>
      <c r="O683" s="727"/>
      <c r="P683" s="727"/>
      <c r="Q683" s="727"/>
      <c r="R683" s="727"/>
      <c r="S683" s="727"/>
      <c r="T683" s="633"/>
    </row>
    <row r="684" spans="1:20" ht="30" customHeight="1">
      <c r="A684" s="25" t="s">
        <v>114</v>
      </c>
      <c r="B684" s="43">
        <f>C684*1.05</f>
        <v>44.1</v>
      </c>
      <c r="C684" s="22">
        <v>42</v>
      </c>
      <c r="D684" s="22"/>
      <c r="E684" s="32"/>
      <c r="F684" s="38"/>
      <c r="G684" s="38"/>
      <c r="H684" s="57"/>
      <c r="I684" s="65"/>
      <c r="J684" s="16"/>
      <c r="L684" s="506"/>
      <c r="M684" s="506"/>
      <c r="N684" s="732"/>
      <c r="O684" s="732"/>
      <c r="P684" s="732"/>
      <c r="Q684" s="732"/>
      <c r="R684" s="732"/>
      <c r="S684" s="732"/>
      <c r="T684" s="403"/>
    </row>
    <row r="685" spans="1:20" ht="30" customHeight="1">
      <c r="A685" s="100" t="s">
        <v>44</v>
      </c>
      <c r="B685" s="47">
        <v>5</v>
      </c>
      <c r="C685" s="47">
        <v>5</v>
      </c>
      <c r="D685" s="47"/>
      <c r="E685" s="50"/>
      <c r="F685" s="50"/>
      <c r="G685" s="50"/>
      <c r="H685" s="47"/>
      <c r="I685" s="509"/>
      <c r="J685" s="16"/>
      <c r="L685" s="506"/>
      <c r="M685" s="506"/>
      <c r="N685" s="732"/>
      <c r="O685" s="732"/>
      <c r="P685" s="732"/>
      <c r="Q685" s="732"/>
      <c r="R685" s="732"/>
      <c r="S685" s="732"/>
      <c r="T685" s="403"/>
    </row>
    <row r="686" spans="1:20" ht="30" customHeight="1">
      <c r="A686" s="671" t="s">
        <v>349</v>
      </c>
      <c r="B686" s="671"/>
      <c r="C686" s="671"/>
      <c r="D686" s="221" t="s">
        <v>337</v>
      </c>
      <c r="E686" s="2">
        <v>5.7</v>
      </c>
      <c r="F686" s="2">
        <v>6.1</v>
      </c>
      <c r="G686" s="2">
        <v>22.5</v>
      </c>
      <c r="H686" s="238">
        <f>E686*4+F686*9+G686*4</f>
        <v>167.7</v>
      </c>
      <c r="I686" s="297" t="s">
        <v>260</v>
      </c>
      <c r="J686" s="9"/>
      <c r="L686" s="506"/>
      <c r="M686" s="506"/>
      <c r="N686" s="732"/>
      <c r="O686" s="732"/>
      <c r="P686" s="732"/>
      <c r="Q686" s="732"/>
      <c r="R686" s="732"/>
      <c r="S686" s="732"/>
      <c r="T686" s="403"/>
    </row>
    <row r="687" spans="1:20" ht="30" customHeight="1">
      <c r="A687" s="411" t="s">
        <v>468</v>
      </c>
      <c r="B687" s="397"/>
      <c r="C687" s="322">
        <v>15</v>
      </c>
      <c r="D687" s="322"/>
      <c r="E687" s="21"/>
      <c r="F687" s="21"/>
      <c r="G687" s="21"/>
      <c r="H687" s="238"/>
      <c r="I687" s="294" t="s">
        <v>339</v>
      </c>
      <c r="J687" s="9"/>
      <c r="L687" s="506"/>
      <c r="M687" s="506"/>
      <c r="N687" s="732"/>
      <c r="O687" s="732"/>
      <c r="P687" s="732"/>
      <c r="Q687" s="732"/>
      <c r="R687" s="732"/>
      <c r="S687" s="732"/>
      <c r="T687" s="633"/>
    </row>
    <row r="688" spans="1:20" ht="30" customHeight="1">
      <c r="A688" s="132" t="s">
        <v>328</v>
      </c>
      <c r="B688" s="37">
        <f>C688*1.18</f>
        <v>8.26</v>
      </c>
      <c r="C688" s="33">
        <v>7</v>
      </c>
      <c r="D688" s="322"/>
      <c r="E688" s="21"/>
      <c r="F688" s="21"/>
      <c r="G688" s="21"/>
      <c r="H688" s="238"/>
      <c r="I688" s="294"/>
      <c r="J688" s="9"/>
      <c r="L688" s="742"/>
      <c r="M688" s="742"/>
      <c r="N688" s="743"/>
      <c r="O688" s="743"/>
      <c r="P688" s="743"/>
      <c r="Q688" s="743"/>
      <c r="R688" s="743"/>
      <c r="S688" s="743"/>
      <c r="T688" s="403"/>
    </row>
    <row r="689" spans="1:27" s="83" customFormat="1" ht="30" customHeight="1">
      <c r="A689" s="132" t="s">
        <v>45</v>
      </c>
      <c r="B689" s="37">
        <f>C689*1.36</f>
        <v>13.600000000000001</v>
      </c>
      <c r="C689" s="33">
        <v>10</v>
      </c>
      <c r="D689" s="398"/>
      <c r="E689" s="402"/>
      <c r="F689" s="402"/>
      <c r="G689" s="402"/>
      <c r="H689" s="316"/>
      <c r="I689" s="402"/>
      <c r="J689" s="36"/>
      <c r="L689" s="507"/>
      <c r="M689" s="733"/>
      <c r="N689" s="733"/>
      <c r="O689" s="733"/>
      <c r="P689" s="733"/>
      <c r="Q689" s="733"/>
      <c r="R689" s="733"/>
      <c r="S689" s="733"/>
      <c r="T689" s="403"/>
      <c r="U689" s="80"/>
      <c r="V689" s="80"/>
      <c r="W689" s="80"/>
      <c r="X689" s="80"/>
      <c r="Y689" s="80"/>
      <c r="Z689" s="80"/>
      <c r="AA689" s="80"/>
    </row>
    <row r="690" spans="1:20" ht="30" customHeight="1">
      <c r="A690" s="132" t="s">
        <v>46</v>
      </c>
      <c r="B690" s="37">
        <f>C690*1.18</f>
        <v>11.799999999999999</v>
      </c>
      <c r="C690" s="33">
        <f>C689</f>
        <v>10</v>
      </c>
      <c r="D690" s="398"/>
      <c r="E690" s="399"/>
      <c r="F690" s="399"/>
      <c r="G690" s="399"/>
      <c r="H690" s="316"/>
      <c r="I690" s="399"/>
      <c r="J690" s="9"/>
      <c r="L690" s="507"/>
      <c r="M690" s="358"/>
      <c r="N690" s="358"/>
      <c r="O690" s="689"/>
      <c r="P690" s="735"/>
      <c r="Q690" s="738"/>
      <c r="R690" s="738"/>
      <c r="S690" s="508"/>
      <c r="T690" s="414"/>
    </row>
    <row r="691" spans="1:25" ht="30" customHeight="1">
      <c r="A691" s="115" t="s">
        <v>51</v>
      </c>
      <c r="B691" s="26">
        <f>C691*1.19</f>
        <v>1.785</v>
      </c>
      <c r="C691" s="33">
        <v>1.5</v>
      </c>
      <c r="D691" s="398"/>
      <c r="E691" s="399"/>
      <c r="F691" s="399"/>
      <c r="G691" s="399"/>
      <c r="H691" s="316"/>
      <c r="I691" s="399"/>
      <c r="J691" s="9"/>
      <c r="L691" s="507"/>
      <c r="M691" s="359"/>
      <c r="N691" s="359"/>
      <c r="O691" s="734"/>
      <c r="P691" s="735"/>
      <c r="Q691" s="689"/>
      <c r="R691" s="689"/>
      <c r="S691" s="358"/>
      <c r="T691" s="91"/>
      <c r="U691" s="91"/>
      <c r="V691" s="91"/>
      <c r="W691" s="91"/>
      <c r="X691" s="91"/>
      <c r="Y691" s="91"/>
    </row>
    <row r="692" spans="1:25" ht="30" customHeight="1">
      <c r="A692" s="53" t="s">
        <v>60</v>
      </c>
      <c r="B692" s="32">
        <v>1.5</v>
      </c>
      <c r="C692" s="33">
        <v>1.5</v>
      </c>
      <c r="D692" s="398"/>
      <c r="E692" s="399"/>
      <c r="F692" s="399"/>
      <c r="G692" s="399"/>
      <c r="H692" s="316"/>
      <c r="I692" s="399"/>
      <c r="J692" s="9"/>
      <c r="L692" s="507"/>
      <c r="M692" s="633"/>
      <c r="N692" s="633"/>
      <c r="O692" s="739"/>
      <c r="P692" s="740"/>
      <c r="Q692" s="741"/>
      <c r="R692" s="741"/>
      <c r="S692" s="66"/>
      <c r="T692" s="91"/>
      <c r="U692" s="91"/>
      <c r="V692" s="91"/>
      <c r="W692" s="91"/>
      <c r="X692" s="91"/>
      <c r="Y692" s="91"/>
    </row>
    <row r="693" spans="1:25" ht="30" customHeight="1">
      <c r="A693" s="25" t="s">
        <v>91</v>
      </c>
      <c r="B693" s="32">
        <v>1.2</v>
      </c>
      <c r="C693" s="33">
        <v>1.2</v>
      </c>
      <c r="D693" s="398"/>
      <c r="E693" s="399"/>
      <c r="F693" s="399"/>
      <c r="G693" s="399"/>
      <c r="H693" s="316"/>
      <c r="I693" s="399"/>
      <c r="J693" s="9"/>
      <c r="L693" s="91"/>
      <c r="M693" s="91"/>
      <c r="N693" s="91"/>
      <c r="O693" s="91"/>
      <c r="P693" s="678"/>
      <c r="Q693" s="678"/>
      <c r="R693" s="678"/>
      <c r="S693" s="334"/>
      <c r="T693" s="335"/>
      <c r="U693" s="335"/>
      <c r="V693" s="335"/>
      <c r="W693" s="360"/>
      <c r="X693" s="336"/>
      <c r="Y693" s="91"/>
    </row>
    <row r="694" spans="1:25" ht="30" customHeight="1">
      <c r="A694" s="53" t="s">
        <v>147</v>
      </c>
      <c r="B694" s="107">
        <f>C694*1.25</f>
        <v>50</v>
      </c>
      <c r="C694" s="175">
        <v>40</v>
      </c>
      <c r="D694" s="632"/>
      <c r="E694" s="21"/>
      <c r="F694" s="21"/>
      <c r="G694" s="21"/>
      <c r="H694" s="238"/>
      <c r="I694" s="636"/>
      <c r="J694" s="9"/>
      <c r="L694" s="91"/>
      <c r="M694" s="91"/>
      <c r="N694" s="93"/>
      <c r="O694" s="93"/>
      <c r="P694" s="347"/>
      <c r="Q694" s="555"/>
      <c r="R694" s="555"/>
      <c r="S694" s="337"/>
      <c r="T694" s="187"/>
      <c r="U694" s="187"/>
      <c r="V694" s="187"/>
      <c r="W694" s="77"/>
      <c r="X694" s="336"/>
      <c r="Y694" s="91"/>
    </row>
    <row r="695" spans="1:25" ht="30" customHeight="1">
      <c r="A695" s="59" t="s">
        <v>43</v>
      </c>
      <c r="B695" s="107">
        <f>C695*1.33</f>
        <v>53.2</v>
      </c>
      <c r="C695" s="175">
        <v>40</v>
      </c>
      <c r="D695" s="632"/>
      <c r="E695" s="21"/>
      <c r="F695" s="21"/>
      <c r="G695" s="21"/>
      <c r="H695" s="238"/>
      <c r="I695" s="306"/>
      <c r="J695" s="9"/>
      <c r="L695" s="91"/>
      <c r="M695" s="91"/>
      <c r="N695" s="91"/>
      <c r="O695" s="91"/>
      <c r="P695" s="347"/>
      <c r="Q695" s="363"/>
      <c r="R695" s="77"/>
      <c r="S695" s="77"/>
      <c r="T695" s="187"/>
      <c r="U695" s="187"/>
      <c r="V695" s="187"/>
      <c r="W695" s="77"/>
      <c r="X695" s="336"/>
      <c r="Y695" s="91"/>
    </row>
    <row r="696" spans="1:25" ht="30" customHeight="1">
      <c r="A696" s="59" t="s">
        <v>55</v>
      </c>
      <c r="B696" s="162">
        <f>C696*1.25</f>
        <v>25</v>
      </c>
      <c r="C696" s="175">
        <v>20</v>
      </c>
      <c r="D696" s="632"/>
      <c r="E696" s="21"/>
      <c r="F696" s="21"/>
      <c r="G696" s="21"/>
      <c r="H696" s="238"/>
      <c r="I696" s="306"/>
      <c r="J696" s="9"/>
      <c r="L696" s="91"/>
      <c r="M696" s="91"/>
      <c r="N696" s="91"/>
      <c r="O696" s="91"/>
      <c r="P696" s="136"/>
      <c r="Q696" s="78"/>
      <c r="R696" s="78"/>
      <c r="S696" s="337"/>
      <c r="T696" s="187"/>
      <c r="U696" s="187"/>
      <c r="V696" s="187"/>
      <c r="W696" s="77"/>
      <c r="X696" s="376"/>
      <c r="Y696" s="91"/>
    </row>
    <row r="697" spans="1:25" ht="30" customHeight="1">
      <c r="A697" s="100" t="s">
        <v>47</v>
      </c>
      <c r="B697" s="162">
        <f>C697*1.33</f>
        <v>13.3</v>
      </c>
      <c r="C697" s="175">
        <v>10</v>
      </c>
      <c r="D697" s="632"/>
      <c r="E697" s="21"/>
      <c r="F697" s="21"/>
      <c r="G697" s="21"/>
      <c r="H697" s="238"/>
      <c r="I697" s="306"/>
      <c r="J697" s="9"/>
      <c r="L697" s="91"/>
      <c r="M697" s="91"/>
      <c r="N697" s="91"/>
      <c r="O697" s="91"/>
      <c r="P697" s="91"/>
      <c r="Q697" s="91"/>
      <c r="R697" s="91"/>
      <c r="S697" s="87"/>
      <c r="T697" s="87"/>
      <c r="U697" s="91"/>
      <c r="V697" s="91"/>
      <c r="W697" s="91"/>
      <c r="X697" s="91"/>
      <c r="Y697" s="91"/>
    </row>
    <row r="698" spans="1:20" ht="30" customHeight="1">
      <c r="A698" s="100" t="s">
        <v>48</v>
      </c>
      <c r="B698" s="162">
        <f>C698*1.43</f>
        <v>14.299999999999999</v>
      </c>
      <c r="C698" s="175">
        <v>10</v>
      </c>
      <c r="D698" s="632"/>
      <c r="E698" s="21"/>
      <c r="F698" s="21"/>
      <c r="G698" s="21"/>
      <c r="H698" s="238"/>
      <c r="I698" s="306"/>
      <c r="J698" s="9"/>
      <c r="L698" s="91"/>
      <c r="M698" s="91"/>
      <c r="N698" s="91"/>
      <c r="O698" s="91"/>
      <c r="P698" s="91"/>
      <c r="Q698" s="91"/>
      <c r="R698" s="91"/>
      <c r="S698" s="87"/>
      <c r="T698" s="87"/>
    </row>
    <row r="699" spans="1:20" ht="30" customHeight="1">
      <c r="A699" s="100" t="s">
        <v>49</v>
      </c>
      <c r="B699" s="162">
        <f>C699*1.54</f>
        <v>15.4</v>
      </c>
      <c r="C699" s="175">
        <v>10</v>
      </c>
      <c r="D699" s="632"/>
      <c r="E699" s="21"/>
      <c r="F699" s="21"/>
      <c r="G699" s="21"/>
      <c r="H699" s="238"/>
      <c r="I699" s="306"/>
      <c r="J699" s="9"/>
      <c r="L699" s="91"/>
      <c r="M699" s="91"/>
      <c r="N699" s="91"/>
      <c r="O699" s="91"/>
      <c r="P699" s="91"/>
      <c r="Q699" s="91"/>
      <c r="R699" s="91"/>
      <c r="S699" s="87"/>
      <c r="T699" s="87"/>
    </row>
    <row r="700" spans="1:20" ht="30" customHeight="1">
      <c r="A700" s="100" t="s">
        <v>50</v>
      </c>
      <c r="B700" s="162">
        <f>C700*1.67</f>
        <v>16.7</v>
      </c>
      <c r="C700" s="175">
        <v>10</v>
      </c>
      <c r="D700" s="632"/>
      <c r="E700" s="21"/>
      <c r="F700" s="21"/>
      <c r="G700" s="21"/>
      <c r="H700" s="238"/>
      <c r="I700" s="306"/>
      <c r="J700" s="9"/>
      <c r="L700" s="91"/>
      <c r="M700" s="91"/>
      <c r="N700" s="91"/>
      <c r="O700" s="91"/>
      <c r="P700" s="91"/>
      <c r="Q700" s="91"/>
      <c r="R700" s="91"/>
      <c r="S700" s="87"/>
      <c r="T700" s="87"/>
    </row>
    <row r="701" spans="1:20" ht="30" customHeight="1">
      <c r="A701" s="25" t="s">
        <v>217</v>
      </c>
      <c r="B701" s="107">
        <v>10</v>
      </c>
      <c r="C701" s="175">
        <v>10</v>
      </c>
      <c r="D701" s="632"/>
      <c r="E701" s="21"/>
      <c r="F701" s="21"/>
      <c r="G701" s="21"/>
      <c r="H701" s="238"/>
      <c r="I701" s="306"/>
      <c r="J701" s="9"/>
      <c r="L701" s="91"/>
      <c r="M701" s="91"/>
      <c r="N701" s="91"/>
      <c r="O701" s="91"/>
      <c r="P701" s="91"/>
      <c r="Q701" s="91"/>
      <c r="R701" s="91"/>
      <c r="S701" s="87"/>
      <c r="T701" s="87"/>
    </row>
    <row r="702" spans="1:20" ht="30" customHeight="1">
      <c r="A702" s="53" t="s">
        <v>112</v>
      </c>
      <c r="B702" s="162">
        <f>C702*1.25</f>
        <v>15</v>
      </c>
      <c r="C702" s="175">
        <v>12</v>
      </c>
      <c r="D702" s="632"/>
      <c r="E702" s="21"/>
      <c r="F702" s="21"/>
      <c r="G702" s="21"/>
      <c r="H702" s="238"/>
      <c r="I702" s="306"/>
      <c r="J702" s="9"/>
      <c r="L702" s="91"/>
      <c r="M702" s="91"/>
      <c r="N702" s="91"/>
      <c r="O702" s="91"/>
      <c r="P702" s="91"/>
      <c r="Q702" s="91"/>
      <c r="R702" s="91"/>
      <c r="S702" s="87"/>
      <c r="T702" s="87"/>
    </row>
    <row r="703" spans="1:20" ht="30" customHeight="1">
      <c r="A703" s="59" t="s">
        <v>43</v>
      </c>
      <c r="B703" s="107">
        <f>C703*1.33</f>
        <v>15.96</v>
      </c>
      <c r="C703" s="175">
        <v>12</v>
      </c>
      <c r="D703" s="632"/>
      <c r="E703" s="21"/>
      <c r="F703" s="21"/>
      <c r="G703" s="21"/>
      <c r="H703" s="238"/>
      <c r="I703" s="306"/>
      <c r="J703" s="9"/>
      <c r="L703" s="91"/>
      <c r="M703" s="91"/>
      <c r="N703" s="91"/>
      <c r="O703" s="91"/>
      <c r="P703" s="91"/>
      <c r="Q703" s="91"/>
      <c r="R703" s="91"/>
      <c r="S703" s="87"/>
      <c r="T703" s="87"/>
    </row>
    <row r="704" spans="1:27" s="40" customFormat="1" ht="30" customHeight="1">
      <c r="A704" s="42" t="s">
        <v>51</v>
      </c>
      <c r="B704" s="107">
        <f>C704*1.19</f>
        <v>11.899999999999999</v>
      </c>
      <c r="C704" s="175">
        <v>10</v>
      </c>
      <c r="D704" s="632"/>
      <c r="E704" s="21"/>
      <c r="F704" s="21"/>
      <c r="G704" s="21"/>
      <c r="H704" s="238"/>
      <c r="I704" s="306"/>
      <c r="J704" s="9"/>
      <c r="L704" s="87"/>
      <c r="M704" s="91"/>
      <c r="N704" s="91"/>
      <c r="O704" s="91"/>
      <c r="P704" s="91"/>
      <c r="Q704" s="91"/>
      <c r="R704" s="91"/>
      <c r="S704" s="91"/>
      <c r="T704" s="80"/>
      <c r="U704" s="80"/>
      <c r="V704" s="80"/>
      <c r="W704" s="80"/>
      <c r="X704" s="80"/>
      <c r="Y704" s="80"/>
      <c r="Z704" s="80"/>
      <c r="AA704" s="80"/>
    </row>
    <row r="705" spans="1:10" ht="30" customHeight="1">
      <c r="A705" s="89" t="s">
        <v>83</v>
      </c>
      <c r="B705" s="49">
        <v>6.4</v>
      </c>
      <c r="C705" s="49">
        <v>6.4</v>
      </c>
      <c r="D705" s="1"/>
      <c r="E705" s="2"/>
      <c r="F705" s="2"/>
      <c r="G705" s="2"/>
      <c r="H705" s="238"/>
      <c r="I705" s="298"/>
      <c r="J705" s="9"/>
    </row>
    <row r="706" spans="1:27" ht="30" customHeight="1">
      <c r="A706" s="100" t="s">
        <v>70</v>
      </c>
      <c r="B706" s="49">
        <v>5</v>
      </c>
      <c r="C706" s="49">
        <v>5</v>
      </c>
      <c r="D706" s="1"/>
      <c r="E706" s="2"/>
      <c r="F706" s="2"/>
      <c r="G706" s="2"/>
      <c r="H706" s="238"/>
      <c r="I706" s="298"/>
      <c r="J706" s="9"/>
      <c r="V706" s="95"/>
      <c r="W706" s="95"/>
      <c r="X706" s="95"/>
      <c r="Y706" s="95"/>
      <c r="Z706" s="95"/>
      <c r="AA706" s="95"/>
    </row>
    <row r="707" spans="1:10" ht="30" customHeight="1">
      <c r="A707" s="25" t="s">
        <v>39</v>
      </c>
      <c r="B707" s="269">
        <v>0.5</v>
      </c>
      <c r="C707" s="269">
        <v>0.5</v>
      </c>
      <c r="D707" s="632"/>
      <c r="E707" s="21"/>
      <c r="F707" s="21"/>
      <c r="G707" s="21"/>
      <c r="H707" s="238"/>
      <c r="I707" s="306"/>
      <c r="J707" s="9"/>
    </row>
    <row r="708" spans="1:10" ht="30" customHeight="1">
      <c r="A708" s="100" t="s">
        <v>52</v>
      </c>
      <c r="B708" s="280">
        <v>5</v>
      </c>
      <c r="C708" s="47">
        <v>5</v>
      </c>
      <c r="D708" s="281"/>
      <c r="E708" s="222"/>
      <c r="F708" s="222"/>
      <c r="G708" s="222"/>
      <c r="H708" s="238"/>
      <c r="I708" s="298"/>
      <c r="J708" s="9"/>
    </row>
    <row r="709" spans="1:18" ht="30" customHeight="1">
      <c r="A709" s="671" t="s">
        <v>536</v>
      </c>
      <c r="B709" s="671"/>
      <c r="C709" s="671"/>
      <c r="D709" s="1">
        <v>100</v>
      </c>
      <c r="E709" s="2">
        <v>14.8</v>
      </c>
      <c r="F709" s="2">
        <v>12.7</v>
      </c>
      <c r="G709" s="2">
        <v>12</v>
      </c>
      <c r="H709" s="3">
        <f>E709*4+F709*9+G709*4</f>
        <v>221.5</v>
      </c>
      <c r="I709" s="294" t="s">
        <v>222</v>
      </c>
      <c r="J709" s="9"/>
      <c r="N709" s="40"/>
      <c r="O709" s="40"/>
      <c r="P709" s="40"/>
      <c r="Q709" s="40"/>
      <c r="R709" s="40"/>
    </row>
    <row r="710" spans="1:10" ht="30" customHeight="1">
      <c r="A710" s="132" t="s">
        <v>328</v>
      </c>
      <c r="B710" s="37">
        <f>C710*1.17</f>
        <v>43.29</v>
      </c>
      <c r="C710" s="57">
        <v>37</v>
      </c>
      <c r="D710" s="1"/>
      <c r="E710" s="2"/>
      <c r="F710" s="2"/>
      <c r="G710" s="2"/>
      <c r="H710" s="3"/>
      <c r="I710" s="294"/>
      <c r="J710" s="9"/>
    </row>
    <row r="711" spans="1:27" s="83" customFormat="1" ht="30" customHeight="1">
      <c r="A711" s="132" t="s">
        <v>45</v>
      </c>
      <c r="B711" s="37">
        <f>C711*1.36</f>
        <v>50.32</v>
      </c>
      <c r="C711" s="57">
        <v>37</v>
      </c>
      <c r="D711" s="22"/>
      <c r="E711" s="43"/>
      <c r="F711" s="43"/>
      <c r="G711" s="43"/>
      <c r="H711" s="26"/>
      <c r="I711" s="43"/>
      <c r="J711" s="9"/>
      <c r="M711" s="80"/>
      <c r="N711" s="80"/>
      <c r="O711" s="80"/>
      <c r="P711" s="80"/>
      <c r="Q711" s="80"/>
      <c r="R711" s="80"/>
      <c r="S711" s="95"/>
      <c r="T711" s="95"/>
      <c r="U711" s="95"/>
      <c r="V711" s="80"/>
      <c r="W711" s="80"/>
      <c r="X711" s="80"/>
      <c r="Y711" s="80"/>
      <c r="Z711" s="80"/>
      <c r="AA711" s="80"/>
    </row>
    <row r="712" spans="1:27" ht="30" customHeight="1">
      <c r="A712" s="132" t="s">
        <v>46</v>
      </c>
      <c r="B712" s="37">
        <f>C712*1.18</f>
        <v>43.66</v>
      </c>
      <c r="C712" s="57">
        <v>37</v>
      </c>
      <c r="D712" s="22"/>
      <c r="E712" s="43"/>
      <c r="F712" s="43"/>
      <c r="G712" s="43"/>
      <c r="H712" s="26"/>
      <c r="I712" s="295"/>
      <c r="J712" s="9"/>
      <c r="V712" s="83"/>
      <c r="W712" s="83"/>
      <c r="X712" s="83"/>
      <c r="Y712" s="83"/>
      <c r="Z712" s="83"/>
      <c r="AA712" s="83"/>
    </row>
    <row r="713" spans="1:10" ht="30" customHeight="1">
      <c r="A713" s="147" t="s">
        <v>42</v>
      </c>
      <c r="B713" s="23">
        <v>18</v>
      </c>
      <c r="C713" s="23">
        <v>18</v>
      </c>
      <c r="D713" s="22"/>
      <c r="E713" s="43"/>
      <c r="F713" s="43"/>
      <c r="G713" s="43"/>
      <c r="H713" s="26"/>
      <c r="I713" s="295"/>
      <c r="J713" s="9"/>
    </row>
    <row r="714" spans="1:10" ht="30" customHeight="1">
      <c r="A714" s="53" t="s">
        <v>326</v>
      </c>
      <c r="B714" s="23">
        <v>12</v>
      </c>
      <c r="C714" s="23">
        <v>12</v>
      </c>
      <c r="D714" s="22"/>
      <c r="E714" s="43"/>
      <c r="F714" s="43"/>
      <c r="G714" s="43"/>
      <c r="H714" s="26"/>
      <c r="I714" s="295"/>
      <c r="J714" s="9"/>
    </row>
    <row r="715" spans="1:10" ht="30" customHeight="1">
      <c r="A715" s="101" t="s">
        <v>51</v>
      </c>
      <c r="B715" s="437">
        <f>C715*1.19</f>
        <v>9.52</v>
      </c>
      <c r="C715" s="146">
        <v>8</v>
      </c>
      <c r="D715" s="22"/>
      <c r="E715" s="43"/>
      <c r="F715" s="43"/>
      <c r="G715" s="43"/>
      <c r="H715" s="26"/>
      <c r="I715" s="295"/>
      <c r="J715" s="36"/>
    </row>
    <row r="716" spans="1:18" ht="30" customHeight="1">
      <c r="A716" s="25" t="s">
        <v>91</v>
      </c>
      <c r="B716" s="57">
        <v>4</v>
      </c>
      <c r="C716" s="57">
        <v>4</v>
      </c>
      <c r="D716" s="22"/>
      <c r="E716" s="50"/>
      <c r="F716" s="43"/>
      <c r="G716" s="43"/>
      <c r="H716" s="26"/>
      <c r="I716" s="295"/>
      <c r="J716" s="9"/>
      <c r="N716" s="83"/>
      <c r="O716" s="83"/>
      <c r="P716" s="83"/>
      <c r="Q716" s="83"/>
      <c r="R716" s="83"/>
    </row>
    <row r="717" spans="1:21" ht="30" customHeight="1">
      <c r="A717" s="102" t="s">
        <v>327</v>
      </c>
      <c r="B717" s="400">
        <v>10</v>
      </c>
      <c r="C717" s="400">
        <v>10</v>
      </c>
      <c r="D717" s="282"/>
      <c r="E717" s="43"/>
      <c r="F717" s="43"/>
      <c r="G717" s="43"/>
      <c r="H717" s="26"/>
      <c r="I717" s="43"/>
      <c r="J717" s="9"/>
      <c r="S717" s="83"/>
      <c r="T717" s="83"/>
      <c r="U717" s="83"/>
    </row>
    <row r="718" spans="1:10" ht="30" customHeight="1">
      <c r="A718" s="101" t="s">
        <v>44</v>
      </c>
      <c r="B718" s="64">
        <v>2</v>
      </c>
      <c r="C718" s="146">
        <v>2</v>
      </c>
      <c r="D718" s="22"/>
      <c r="E718" s="43"/>
      <c r="F718" s="43"/>
      <c r="G718" s="43"/>
      <c r="H718" s="26"/>
      <c r="I718" s="295"/>
      <c r="J718" s="9"/>
    </row>
    <row r="719" spans="1:10" ht="30" customHeight="1">
      <c r="A719" s="675" t="s">
        <v>334</v>
      </c>
      <c r="B719" s="675"/>
      <c r="C719" s="675"/>
      <c r="D719" s="1">
        <v>180</v>
      </c>
      <c r="E719" s="21">
        <v>6.784615384615385</v>
      </c>
      <c r="F719" s="21">
        <v>3.8769230769230765</v>
      </c>
      <c r="G719" s="21">
        <v>33.23076923076923</v>
      </c>
      <c r="H719" s="238">
        <f>G719*4+F719*9+E719*4</f>
        <v>194.95384615384617</v>
      </c>
      <c r="I719" s="300" t="s">
        <v>341</v>
      </c>
      <c r="J719" s="9"/>
    </row>
    <row r="720" spans="1:27" ht="30" customHeight="1">
      <c r="A720" s="115" t="s">
        <v>333</v>
      </c>
      <c r="B720" s="24">
        <v>60</v>
      </c>
      <c r="C720" s="23">
        <v>60</v>
      </c>
      <c r="D720" s="282"/>
      <c r="E720" s="292"/>
      <c r="F720" s="292"/>
      <c r="G720" s="292"/>
      <c r="H720" s="353"/>
      <c r="I720" s="292"/>
      <c r="J720" s="9"/>
      <c r="V720" s="83"/>
      <c r="W720" s="83"/>
      <c r="X720" s="83"/>
      <c r="Y720" s="83"/>
      <c r="Z720" s="83"/>
      <c r="AA720" s="83"/>
    </row>
    <row r="721" spans="1:10" ht="30" customHeight="1">
      <c r="A721" s="115" t="s">
        <v>60</v>
      </c>
      <c r="B721" s="24">
        <v>140</v>
      </c>
      <c r="C721" s="23">
        <v>140</v>
      </c>
      <c r="D721" s="282"/>
      <c r="E721" s="292"/>
      <c r="F721" s="292"/>
      <c r="G721" s="292"/>
      <c r="H721" s="353"/>
      <c r="I721" s="292"/>
      <c r="J721" s="9"/>
    </row>
    <row r="722" spans="1:10" ht="30" customHeight="1">
      <c r="A722" s="53" t="s">
        <v>70</v>
      </c>
      <c r="B722" s="45">
        <v>5</v>
      </c>
      <c r="C722" s="45">
        <v>5</v>
      </c>
      <c r="D722" s="282"/>
      <c r="E722" s="21"/>
      <c r="F722" s="21"/>
      <c r="G722" s="21"/>
      <c r="H722" s="238"/>
      <c r="I722" s="300"/>
      <c r="J722" s="9"/>
    </row>
    <row r="723" spans="1:10" ht="30" customHeight="1">
      <c r="A723" s="692" t="s">
        <v>95</v>
      </c>
      <c r="B723" s="692"/>
      <c r="C723" s="692"/>
      <c r="D723" s="692"/>
      <c r="E723" s="692"/>
      <c r="F723" s="692"/>
      <c r="G723" s="692"/>
      <c r="H723" s="692"/>
      <c r="I723" s="692"/>
      <c r="J723" s="9"/>
    </row>
    <row r="724" spans="1:10" ht="30" customHeight="1">
      <c r="A724" s="675" t="s">
        <v>583</v>
      </c>
      <c r="B724" s="675"/>
      <c r="C724" s="675"/>
      <c r="D724" s="632">
        <v>180</v>
      </c>
      <c r="E724" s="632">
        <v>2.8</v>
      </c>
      <c r="F724" s="632">
        <v>5.7</v>
      </c>
      <c r="G724" s="632">
        <v>32</v>
      </c>
      <c r="H724" s="238">
        <f>G724*4+F724*9+E724*4</f>
        <v>190.5</v>
      </c>
      <c r="I724" s="294" t="s">
        <v>584</v>
      </c>
      <c r="J724" s="9"/>
    </row>
    <row r="725" spans="1:21" ht="30" customHeight="1">
      <c r="A725" s="20" t="s">
        <v>347</v>
      </c>
      <c r="B725" s="22">
        <v>47</v>
      </c>
      <c r="C725" s="22">
        <v>47</v>
      </c>
      <c r="D725" s="282"/>
      <c r="E725" s="282"/>
      <c r="F725" s="282"/>
      <c r="G725" s="282"/>
      <c r="H725" s="282"/>
      <c r="I725" s="333"/>
      <c r="J725" s="9"/>
      <c r="S725" s="83"/>
      <c r="T725" s="83"/>
      <c r="U725" s="83"/>
    </row>
    <row r="726" spans="1:10" ht="30" customHeight="1">
      <c r="A726" s="20" t="s">
        <v>60</v>
      </c>
      <c r="B726" s="22">
        <v>112</v>
      </c>
      <c r="C726" s="22">
        <v>112</v>
      </c>
      <c r="D726" s="282"/>
      <c r="E726" s="282"/>
      <c r="F726" s="282"/>
      <c r="G726" s="282"/>
      <c r="H726" s="282"/>
      <c r="I726" s="333"/>
      <c r="J726" s="9"/>
    </row>
    <row r="727" spans="1:27" ht="30" customHeight="1">
      <c r="A727" s="20" t="s">
        <v>70</v>
      </c>
      <c r="B727" s="22">
        <v>4</v>
      </c>
      <c r="C727" s="22">
        <v>4</v>
      </c>
      <c r="D727" s="282"/>
      <c r="E727" s="282"/>
      <c r="F727" s="282"/>
      <c r="G727" s="282"/>
      <c r="H727" s="282"/>
      <c r="I727" s="333"/>
      <c r="J727" s="9"/>
      <c r="V727" s="40"/>
      <c r="W727" s="40"/>
      <c r="X727" s="40"/>
      <c r="Y727" s="40"/>
      <c r="Z727" s="40"/>
      <c r="AA727" s="40"/>
    </row>
    <row r="728" spans="1:10" ht="30" customHeight="1">
      <c r="A728" s="20" t="s">
        <v>585</v>
      </c>
      <c r="B728" s="22"/>
      <c r="C728" s="22">
        <v>140</v>
      </c>
      <c r="D728" s="282"/>
      <c r="E728" s="282"/>
      <c r="F728" s="282"/>
      <c r="G728" s="282"/>
      <c r="H728" s="282"/>
      <c r="I728" s="333"/>
      <c r="J728" s="9"/>
    </row>
    <row r="729" spans="1:14" ht="30" customHeight="1">
      <c r="A729" s="20" t="s">
        <v>586</v>
      </c>
      <c r="B729" s="22"/>
      <c r="C729" s="22">
        <v>40</v>
      </c>
      <c r="D729" s="282"/>
      <c r="E729" s="282"/>
      <c r="F729" s="282"/>
      <c r="G729" s="282"/>
      <c r="H729" s="282"/>
      <c r="I729" s="333"/>
      <c r="J729" s="9"/>
      <c r="N729" s="40"/>
    </row>
    <row r="730" spans="1:27" ht="30" customHeight="1">
      <c r="A730" s="20" t="s">
        <v>112</v>
      </c>
      <c r="B730" s="26">
        <f>C730*1.25</f>
        <v>40</v>
      </c>
      <c r="C730" s="26">
        <v>32</v>
      </c>
      <c r="D730" s="282"/>
      <c r="E730" s="32"/>
      <c r="F730" s="32"/>
      <c r="G730" s="32"/>
      <c r="H730" s="45"/>
      <c r="I730" s="333"/>
      <c r="J730" s="9"/>
      <c r="N730" s="40"/>
      <c r="V730" s="40"/>
      <c r="W730" s="40"/>
      <c r="X730" s="40"/>
      <c r="Y730" s="40"/>
      <c r="Z730" s="40"/>
      <c r="AA730" s="40"/>
    </row>
    <row r="731" spans="1:14" ht="30" customHeight="1">
      <c r="A731" s="20" t="s">
        <v>43</v>
      </c>
      <c r="B731" s="26">
        <f>C731*1.33</f>
        <v>42.56</v>
      </c>
      <c r="C731" s="26">
        <v>32</v>
      </c>
      <c r="D731" s="282"/>
      <c r="E731" s="32"/>
      <c r="F731" s="32"/>
      <c r="G731" s="32"/>
      <c r="H731" s="45"/>
      <c r="I731" s="333"/>
      <c r="J731" s="9"/>
      <c r="N731" s="40"/>
    </row>
    <row r="732" spans="1:14" ht="30" customHeight="1">
      <c r="A732" s="59" t="s">
        <v>51</v>
      </c>
      <c r="B732" s="45">
        <f>C732*1.19</f>
        <v>14.28</v>
      </c>
      <c r="C732" s="26">
        <v>12</v>
      </c>
      <c r="D732" s="282"/>
      <c r="E732" s="32"/>
      <c r="F732" s="32"/>
      <c r="G732" s="32"/>
      <c r="H732" s="45"/>
      <c r="I732" s="333"/>
      <c r="J732" s="9"/>
      <c r="N732" s="40"/>
    </row>
    <row r="733" spans="1:10" ht="30" customHeight="1">
      <c r="A733" s="20" t="s">
        <v>70</v>
      </c>
      <c r="B733" s="22">
        <v>4</v>
      </c>
      <c r="C733" s="22">
        <v>4</v>
      </c>
      <c r="D733" s="282"/>
      <c r="E733" s="282"/>
      <c r="F733" s="282"/>
      <c r="G733" s="282"/>
      <c r="H733" s="282"/>
      <c r="I733" s="333"/>
      <c r="J733" s="9"/>
    </row>
    <row r="734" spans="1:10" ht="30" customHeight="1">
      <c r="A734" s="278" t="s">
        <v>278</v>
      </c>
      <c r="B734" s="1">
        <v>200</v>
      </c>
      <c r="C734" s="1">
        <v>200</v>
      </c>
      <c r="D734" s="1">
        <v>200</v>
      </c>
      <c r="E734" s="2">
        <v>0.4</v>
      </c>
      <c r="F734" s="2">
        <v>0</v>
      </c>
      <c r="G734" s="2">
        <v>22</v>
      </c>
      <c r="H734" s="3">
        <f>E734*4+F734*9+G734*4</f>
        <v>89.6</v>
      </c>
      <c r="I734" s="300" t="s">
        <v>279</v>
      </c>
      <c r="J734" s="9"/>
    </row>
    <row r="735" spans="1:27" ht="30" customHeight="1">
      <c r="A735" s="692" t="s">
        <v>95</v>
      </c>
      <c r="B735" s="692"/>
      <c r="C735" s="692"/>
      <c r="D735" s="692"/>
      <c r="E735" s="692"/>
      <c r="F735" s="692"/>
      <c r="G735" s="692"/>
      <c r="H735" s="692"/>
      <c r="I735" s="692"/>
      <c r="J735" s="36"/>
      <c r="S735" s="40"/>
      <c r="T735" s="40"/>
      <c r="U735" s="40"/>
      <c r="V735" s="83"/>
      <c r="W735" s="83"/>
      <c r="X735" s="83"/>
      <c r="Y735" s="83"/>
      <c r="Z735" s="83"/>
      <c r="AA735" s="83"/>
    </row>
    <row r="736" spans="1:10" ht="30" customHeight="1">
      <c r="A736" s="710" t="s">
        <v>265</v>
      </c>
      <c r="B736" s="710"/>
      <c r="C736" s="710"/>
      <c r="D736" s="158">
        <v>200</v>
      </c>
      <c r="E736" s="228">
        <v>0.5</v>
      </c>
      <c r="F736" s="228">
        <v>0.2</v>
      </c>
      <c r="G736" s="228">
        <v>28.1</v>
      </c>
      <c r="H736" s="3">
        <f>G736*4+F736*9+E736*4</f>
        <v>116.2</v>
      </c>
      <c r="I736" s="301" t="s">
        <v>266</v>
      </c>
      <c r="J736" s="36"/>
    </row>
    <row r="737" spans="1:10" ht="30" customHeight="1">
      <c r="A737" s="59" t="s">
        <v>207</v>
      </c>
      <c r="B737" s="156">
        <f>C737*1.05</f>
        <v>21</v>
      </c>
      <c r="C737" s="156">
        <v>20</v>
      </c>
      <c r="D737" s="158"/>
      <c r="E737" s="228"/>
      <c r="F737" s="228"/>
      <c r="G737" s="228"/>
      <c r="H737" s="3"/>
      <c r="I737" s="301"/>
      <c r="J737" s="36"/>
    </row>
    <row r="738" spans="1:10" ht="30" customHeight="1">
      <c r="A738" s="59" t="s">
        <v>143</v>
      </c>
      <c r="B738" s="156">
        <f>C738*1.05</f>
        <v>21</v>
      </c>
      <c r="C738" s="156">
        <v>20</v>
      </c>
      <c r="D738" s="158"/>
      <c r="E738" s="228"/>
      <c r="F738" s="228"/>
      <c r="G738" s="228"/>
      <c r="H738" s="3"/>
      <c r="I738" s="301"/>
      <c r="J738" s="36"/>
    </row>
    <row r="739" spans="1:10" ht="30" customHeight="1">
      <c r="A739" s="25" t="s">
        <v>39</v>
      </c>
      <c r="B739" s="166">
        <v>20</v>
      </c>
      <c r="C739" s="166">
        <v>20</v>
      </c>
      <c r="D739" s="194"/>
      <c r="E739" s="232"/>
      <c r="F739" s="232"/>
      <c r="G739" s="232"/>
      <c r="H739" s="533"/>
      <c r="I739" s="301"/>
      <c r="J739" s="9"/>
    </row>
    <row r="740" spans="1:10" ht="30" customHeight="1">
      <c r="A740" s="674" t="s">
        <v>34</v>
      </c>
      <c r="B740" s="674"/>
      <c r="C740" s="674"/>
      <c r="D740" s="1">
        <v>20</v>
      </c>
      <c r="E740" s="2">
        <v>0.9399999999999998</v>
      </c>
      <c r="F740" s="2">
        <v>0.2</v>
      </c>
      <c r="G740" s="2">
        <v>8.74</v>
      </c>
      <c r="H740" s="3">
        <v>40.52</v>
      </c>
      <c r="I740" s="294"/>
      <c r="J740" s="9"/>
    </row>
    <row r="741" spans="1:21" ht="30" customHeight="1">
      <c r="A741" s="675" t="s">
        <v>145</v>
      </c>
      <c r="B741" s="675"/>
      <c r="C741" s="675"/>
      <c r="D741" s="1">
        <v>20</v>
      </c>
      <c r="E741" s="2"/>
      <c r="F741" s="2"/>
      <c r="G741" s="2"/>
      <c r="H741" s="3"/>
      <c r="I741" s="294"/>
      <c r="J741" s="9"/>
      <c r="S741" s="83"/>
      <c r="T741" s="83"/>
      <c r="U741" s="83"/>
    </row>
    <row r="742" spans="1:10" ht="30" customHeight="1">
      <c r="A742" s="674" t="s">
        <v>74</v>
      </c>
      <c r="B742" s="674"/>
      <c r="C742" s="674"/>
      <c r="D742" s="3">
        <v>40</v>
      </c>
      <c r="E742" s="2">
        <v>2</v>
      </c>
      <c r="F742" s="2">
        <v>0.56</v>
      </c>
      <c r="G742" s="2">
        <v>16.2</v>
      </c>
      <c r="H742" s="3">
        <v>77.84</v>
      </c>
      <c r="I742" s="294"/>
      <c r="J742" s="9"/>
    </row>
    <row r="743" spans="1:10" ht="30" customHeight="1">
      <c r="A743" s="675" t="s">
        <v>72</v>
      </c>
      <c r="B743" s="675"/>
      <c r="C743" s="675"/>
      <c r="D743" s="1">
        <v>40</v>
      </c>
      <c r="E743" s="2"/>
      <c r="F743" s="2"/>
      <c r="G743" s="2"/>
      <c r="H743" s="3"/>
      <c r="I743" s="294"/>
      <c r="J743" s="9"/>
    </row>
    <row r="744" spans="1:14" ht="30" customHeight="1">
      <c r="A744" s="698" t="s">
        <v>202</v>
      </c>
      <c r="B744" s="698"/>
      <c r="C744" s="698"/>
      <c r="D744" s="266"/>
      <c r="E744" s="235">
        <f>E635+E679</f>
        <v>59.924615384615386</v>
      </c>
      <c r="F744" s="235">
        <f>F635+F679</f>
        <v>55.036923076923074</v>
      </c>
      <c r="G744" s="235">
        <f>G635+G679</f>
        <v>188.67076923076922</v>
      </c>
      <c r="H744" s="267">
        <f>H635+H679</f>
        <v>1488.9338461538462</v>
      </c>
      <c r="I744" s="302"/>
      <c r="J744" s="9"/>
      <c r="N744" s="66"/>
    </row>
    <row r="745" spans="1:27" ht="30" customHeight="1">
      <c r="A745" s="707" t="s">
        <v>18</v>
      </c>
      <c r="B745" s="707"/>
      <c r="C745" s="707"/>
      <c r="D745" s="707"/>
      <c r="E745" s="707"/>
      <c r="F745" s="707"/>
      <c r="G745" s="707"/>
      <c r="H745" s="707"/>
      <c r="I745" s="707"/>
      <c r="J745" s="9"/>
      <c r="N745" s="75"/>
      <c r="V745" s="40"/>
      <c r="W745" s="40"/>
      <c r="X745" s="40"/>
      <c r="Y745" s="40"/>
      <c r="Z745" s="40"/>
      <c r="AA745" s="40"/>
    </row>
    <row r="746" spans="1:14" ht="30" customHeight="1">
      <c r="A746" s="693" t="s">
        <v>1</v>
      </c>
      <c r="B746" s="676" t="s">
        <v>2</v>
      </c>
      <c r="C746" s="676" t="s">
        <v>3</v>
      </c>
      <c r="D746" s="676" t="s">
        <v>4</v>
      </c>
      <c r="E746" s="676"/>
      <c r="F746" s="676"/>
      <c r="G746" s="676"/>
      <c r="H746" s="676"/>
      <c r="I746" s="682" t="s">
        <v>201</v>
      </c>
      <c r="J746" s="18"/>
      <c r="N746" s="75"/>
    </row>
    <row r="747" spans="1:14" ht="30" customHeight="1">
      <c r="A747" s="693"/>
      <c r="B747" s="676"/>
      <c r="C747" s="676"/>
      <c r="D747" s="6" t="s">
        <v>5</v>
      </c>
      <c r="E747" s="62" t="s">
        <v>6</v>
      </c>
      <c r="F747" s="62" t="s">
        <v>7</v>
      </c>
      <c r="G747" s="62" t="s">
        <v>8</v>
      </c>
      <c r="H747" s="69" t="s">
        <v>9</v>
      </c>
      <c r="I747" s="682"/>
      <c r="J747" s="9"/>
      <c r="N747" s="75"/>
    </row>
    <row r="748" spans="1:14" ht="30" customHeight="1">
      <c r="A748" s="690" t="s">
        <v>10</v>
      </c>
      <c r="B748" s="690"/>
      <c r="C748" s="690"/>
      <c r="D748" s="243">
        <f>D749+D752+D764+D767+D771</f>
        <v>600</v>
      </c>
      <c r="E748" s="71">
        <f>E749+E752+E764+E767+E771+E772+E774</f>
        <v>16.18</v>
      </c>
      <c r="F748" s="71">
        <f>F749+F752+F764+F767+F771+F772+F774</f>
        <v>14.78</v>
      </c>
      <c r="G748" s="71">
        <f>G749+G752+G764+G767+G771+G772+G774</f>
        <v>98.4</v>
      </c>
      <c r="H748" s="71">
        <f>H749+H752+H764+H767+H771+H772+H774</f>
        <v>590.56</v>
      </c>
      <c r="I748" s="293"/>
      <c r="J748" s="9"/>
      <c r="N748" s="75"/>
    </row>
    <row r="749" spans="1:27" ht="30" customHeight="1">
      <c r="A749" s="412" t="s">
        <v>620</v>
      </c>
      <c r="B749" s="413"/>
      <c r="C749" s="239"/>
      <c r="D749" s="239">
        <v>20</v>
      </c>
      <c r="E749" s="240">
        <v>0.18</v>
      </c>
      <c r="F749" s="240">
        <v>0.1</v>
      </c>
      <c r="G749" s="240">
        <v>0.5</v>
      </c>
      <c r="H749" s="238">
        <f>G749*4+F749*9+E749*4</f>
        <v>3.62</v>
      </c>
      <c r="I749" s="297" t="s">
        <v>350</v>
      </c>
      <c r="J749" s="9"/>
      <c r="N749" s="75"/>
      <c r="V749" s="83"/>
      <c r="W749" s="83"/>
      <c r="X749" s="83"/>
      <c r="Y749" s="83"/>
      <c r="Z749" s="83"/>
      <c r="AA749" s="83"/>
    </row>
    <row r="750" spans="1:14" ht="30" customHeight="1">
      <c r="A750" s="115" t="s">
        <v>351</v>
      </c>
      <c r="B750" s="43">
        <f>C750*1.02</f>
        <v>20.4</v>
      </c>
      <c r="C750" s="230">
        <v>20</v>
      </c>
      <c r="D750" s="239"/>
      <c r="E750" s="240"/>
      <c r="F750" s="240"/>
      <c r="G750" s="240"/>
      <c r="H750" s="396"/>
      <c r="I750" s="284"/>
      <c r="J750" s="9"/>
      <c r="N750" s="75"/>
    </row>
    <row r="751" spans="1:14" ht="30" customHeight="1">
      <c r="A751" s="115" t="s">
        <v>114</v>
      </c>
      <c r="B751" s="26">
        <f>C751*1.05</f>
        <v>21</v>
      </c>
      <c r="C751" s="230">
        <v>20</v>
      </c>
      <c r="D751" s="239"/>
      <c r="E751" s="240"/>
      <c r="F751" s="240"/>
      <c r="G751" s="240"/>
      <c r="H751" s="396"/>
      <c r="I751" s="284"/>
      <c r="J751" s="9"/>
      <c r="N751" s="75"/>
    </row>
    <row r="752" spans="1:14" ht="30" customHeight="1">
      <c r="A752" s="671" t="s">
        <v>587</v>
      </c>
      <c r="B752" s="671"/>
      <c r="C752" s="671"/>
      <c r="D752" s="1">
        <v>100</v>
      </c>
      <c r="E752" s="2">
        <v>9.8</v>
      </c>
      <c r="F752" s="2">
        <v>10.9</v>
      </c>
      <c r="G752" s="2">
        <v>12.6</v>
      </c>
      <c r="H752" s="3">
        <f>E752*4+F752*9+G752*4</f>
        <v>187.70000000000002</v>
      </c>
      <c r="I752" s="297" t="s">
        <v>588</v>
      </c>
      <c r="J752" s="9"/>
      <c r="N752" s="75"/>
    </row>
    <row r="753" spans="1:14" ht="30" customHeight="1">
      <c r="A753" s="132" t="s">
        <v>328</v>
      </c>
      <c r="B753" s="37">
        <f>C753*1.17</f>
        <v>49.14</v>
      </c>
      <c r="C753" s="57">
        <v>42</v>
      </c>
      <c r="D753" s="22"/>
      <c r="E753" s="2"/>
      <c r="F753" s="2"/>
      <c r="G753" s="2"/>
      <c r="H753" s="3"/>
      <c r="I753" s="297"/>
      <c r="J753" s="9"/>
      <c r="N753" s="75"/>
    </row>
    <row r="754" spans="1:14" ht="30" customHeight="1">
      <c r="A754" s="132" t="s">
        <v>45</v>
      </c>
      <c r="B754" s="37">
        <f>C754*1.36</f>
        <v>57.120000000000005</v>
      </c>
      <c r="C754" s="57">
        <v>42</v>
      </c>
      <c r="D754" s="22"/>
      <c r="E754" s="160"/>
      <c r="F754" s="160"/>
      <c r="G754" s="160"/>
      <c r="H754" s="3"/>
      <c r="I754" s="297"/>
      <c r="J754" s="9"/>
      <c r="N754" s="75"/>
    </row>
    <row r="755" spans="1:10" ht="30" customHeight="1">
      <c r="A755" s="132" t="s">
        <v>46</v>
      </c>
      <c r="B755" s="37">
        <f>C755*1.18</f>
        <v>49.559999999999995</v>
      </c>
      <c r="C755" s="57">
        <v>42</v>
      </c>
      <c r="D755" s="22"/>
      <c r="E755" s="43"/>
      <c r="F755" s="43"/>
      <c r="G755" s="43"/>
      <c r="H755" s="26"/>
      <c r="I755" s="297"/>
      <c r="J755" s="9"/>
    </row>
    <row r="756" spans="1:10" ht="30" customHeight="1">
      <c r="A756" s="53" t="s">
        <v>47</v>
      </c>
      <c r="B756" s="45">
        <f>C756*1.33</f>
        <v>26.6</v>
      </c>
      <c r="C756" s="57">
        <v>20</v>
      </c>
      <c r="D756" s="22"/>
      <c r="E756" s="21"/>
      <c r="F756" s="21"/>
      <c r="G756" s="21"/>
      <c r="H756" s="238"/>
      <c r="I756" s="300"/>
      <c r="J756" s="9"/>
    </row>
    <row r="757" spans="1:10" ht="30" customHeight="1">
      <c r="A757" s="115" t="s">
        <v>48</v>
      </c>
      <c r="B757" s="26">
        <f>C757*1.43</f>
        <v>28.599999999999998</v>
      </c>
      <c r="C757" s="57">
        <v>20</v>
      </c>
      <c r="D757" s="22"/>
      <c r="E757" s="277"/>
      <c r="F757" s="21"/>
      <c r="G757" s="277"/>
      <c r="H757" s="620"/>
      <c r="I757" s="300"/>
      <c r="J757" s="9"/>
    </row>
    <row r="758" spans="1:10" ht="30" customHeight="1">
      <c r="A758" s="115" t="s">
        <v>49</v>
      </c>
      <c r="B758" s="26">
        <f>C758*1.54</f>
        <v>30.8</v>
      </c>
      <c r="C758" s="57">
        <v>20</v>
      </c>
      <c r="D758" s="22"/>
      <c r="E758" s="277"/>
      <c r="F758" s="21"/>
      <c r="G758" s="277"/>
      <c r="H758" s="620"/>
      <c r="I758" s="300"/>
      <c r="J758" s="9"/>
    </row>
    <row r="759" spans="1:10" ht="30" customHeight="1">
      <c r="A759" s="20" t="s">
        <v>50</v>
      </c>
      <c r="B759" s="26">
        <f>C759*1.67</f>
        <v>33.4</v>
      </c>
      <c r="C759" s="57">
        <v>20</v>
      </c>
      <c r="D759" s="22"/>
      <c r="E759" s="277"/>
      <c r="F759" s="21"/>
      <c r="G759" s="277"/>
      <c r="H759" s="620"/>
      <c r="I759" s="300"/>
      <c r="J759" s="9"/>
    </row>
    <row r="760" spans="1:10" ht="30" customHeight="1">
      <c r="A760" s="101" t="s">
        <v>51</v>
      </c>
      <c r="B760" s="64">
        <f>C760*1.19</f>
        <v>15.469999999999999</v>
      </c>
      <c r="C760" s="146">
        <v>13</v>
      </c>
      <c r="D760" s="22"/>
      <c r="E760" s="43"/>
      <c r="F760" s="43"/>
      <c r="G760" s="43"/>
      <c r="H760" s="26"/>
      <c r="I760" s="295"/>
      <c r="J760" s="9"/>
    </row>
    <row r="761" spans="1:10" ht="30" customHeight="1">
      <c r="A761" s="25" t="s">
        <v>91</v>
      </c>
      <c r="B761" s="57">
        <v>8</v>
      </c>
      <c r="C761" s="57">
        <v>8</v>
      </c>
      <c r="D761" s="22"/>
      <c r="E761" s="50"/>
      <c r="F761" s="43"/>
      <c r="G761" s="43"/>
      <c r="H761" s="26"/>
      <c r="I761" s="295"/>
      <c r="J761" s="9"/>
    </row>
    <row r="762" spans="1:10" ht="30" customHeight="1">
      <c r="A762" s="20" t="s">
        <v>97</v>
      </c>
      <c r="B762" s="52">
        <v>8</v>
      </c>
      <c r="C762" s="52">
        <v>8</v>
      </c>
      <c r="D762" s="22"/>
      <c r="E762" s="50"/>
      <c r="F762" s="43"/>
      <c r="G762" s="43"/>
      <c r="H762" s="26"/>
      <c r="I762" s="295"/>
      <c r="J762" s="9"/>
    </row>
    <row r="763" spans="1:10" ht="30" customHeight="1">
      <c r="A763" s="101" t="s">
        <v>44</v>
      </c>
      <c r="B763" s="64">
        <v>2</v>
      </c>
      <c r="C763" s="146">
        <v>2</v>
      </c>
      <c r="D763" s="22"/>
      <c r="E763" s="43"/>
      <c r="F763" s="43"/>
      <c r="G763" s="43"/>
      <c r="H763" s="26"/>
      <c r="I763" s="295"/>
      <c r="J763" s="9"/>
    </row>
    <row r="764" spans="1:10" ht="30" customHeight="1">
      <c r="A764" s="671" t="s">
        <v>313</v>
      </c>
      <c r="B764" s="671"/>
      <c r="C764" s="671"/>
      <c r="D764" s="632">
        <v>180</v>
      </c>
      <c r="E764" s="21">
        <v>3.8</v>
      </c>
      <c r="F764" s="21">
        <v>3.4</v>
      </c>
      <c r="G764" s="21">
        <v>41.1</v>
      </c>
      <c r="H764" s="238">
        <f>E764*4+F764*9+G764*4</f>
        <v>210.2</v>
      </c>
      <c r="I764" s="329" t="s">
        <v>223</v>
      </c>
      <c r="J764" s="9"/>
    </row>
    <row r="765" spans="1:10" ht="30" customHeight="1">
      <c r="A765" s="389" t="s">
        <v>392</v>
      </c>
      <c r="B765" s="26">
        <v>64</v>
      </c>
      <c r="C765" s="26">
        <v>64</v>
      </c>
      <c r="D765" s="632"/>
      <c r="E765" s="21"/>
      <c r="F765" s="21"/>
      <c r="G765" s="21"/>
      <c r="H765" s="238"/>
      <c r="I765" s="329"/>
      <c r="J765" s="9"/>
    </row>
    <row r="766" spans="1:10" ht="30" customHeight="1">
      <c r="A766" s="53" t="s">
        <v>70</v>
      </c>
      <c r="B766" s="23">
        <v>4</v>
      </c>
      <c r="C766" s="23">
        <v>4</v>
      </c>
      <c r="D766" s="23"/>
      <c r="E766" s="32"/>
      <c r="F766" s="32"/>
      <c r="G766" s="32"/>
      <c r="H766" s="45"/>
      <c r="I766" s="327"/>
      <c r="J766" s="9"/>
    </row>
    <row r="767" spans="1:10" ht="30" customHeight="1">
      <c r="A767" s="671" t="s">
        <v>320</v>
      </c>
      <c r="B767" s="671"/>
      <c r="C767" s="671"/>
      <c r="D767" s="1">
        <v>200</v>
      </c>
      <c r="E767" s="1">
        <v>0.3</v>
      </c>
      <c r="F767" s="1">
        <v>0</v>
      </c>
      <c r="G767" s="1">
        <v>12.3</v>
      </c>
      <c r="H767" s="3">
        <f>E767*4+F767*9+G767*4</f>
        <v>50.400000000000006</v>
      </c>
      <c r="I767" s="294" t="s">
        <v>455</v>
      </c>
      <c r="J767" s="9"/>
    </row>
    <row r="768" spans="1:10" ht="30" customHeight="1">
      <c r="A768" s="25" t="s">
        <v>134</v>
      </c>
      <c r="B768" s="57">
        <v>2</v>
      </c>
      <c r="C768" s="57">
        <v>2</v>
      </c>
      <c r="D768" s="433"/>
      <c r="E768" s="433"/>
      <c r="F768" s="433"/>
      <c r="G768" s="433"/>
      <c r="H768" s="434"/>
      <c r="I768" s="304"/>
      <c r="J768" s="9"/>
    </row>
    <row r="769" spans="1:10" ht="30" customHeight="1">
      <c r="A769" s="25" t="s">
        <v>472</v>
      </c>
      <c r="B769" s="38">
        <f>C769*1.07</f>
        <v>12.84</v>
      </c>
      <c r="C769" s="57">
        <v>12</v>
      </c>
      <c r="D769" s="433"/>
      <c r="E769" s="433"/>
      <c r="F769" s="433"/>
      <c r="G769" s="433"/>
      <c r="H769" s="434"/>
      <c r="I769" s="304"/>
      <c r="J769" s="9"/>
    </row>
    <row r="770" spans="1:21" ht="30" customHeight="1">
      <c r="A770" s="25" t="s">
        <v>39</v>
      </c>
      <c r="B770" s="175">
        <v>12</v>
      </c>
      <c r="C770" s="175">
        <v>12</v>
      </c>
      <c r="D770" s="433"/>
      <c r="E770" s="433"/>
      <c r="F770" s="433"/>
      <c r="G770" s="433"/>
      <c r="H770" s="434"/>
      <c r="I770" s="304"/>
      <c r="J770" s="9"/>
      <c r="S770" s="40"/>
      <c r="T770" s="40"/>
      <c r="U770" s="40"/>
    </row>
    <row r="771" spans="1:10" ht="30" customHeight="1">
      <c r="A771" s="683" t="s">
        <v>239</v>
      </c>
      <c r="B771" s="683"/>
      <c r="C771" s="683"/>
      <c r="D771" s="4">
        <v>100</v>
      </c>
      <c r="E771" s="242">
        <v>0.4</v>
      </c>
      <c r="F771" s="242">
        <v>0</v>
      </c>
      <c r="G771" s="242">
        <v>14.4</v>
      </c>
      <c r="H771" s="3">
        <f>E771*4+F771*9+G771*4</f>
        <v>59.2</v>
      </c>
      <c r="I771" s="294" t="s">
        <v>240</v>
      </c>
      <c r="J771" s="9"/>
    </row>
    <row r="772" spans="1:27" ht="30" customHeight="1">
      <c r="A772" s="674" t="s">
        <v>34</v>
      </c>
      <c r="B772" s="674"/>
      <c r="C772" s="674"/>
      <c r="D772" s="1">
        <v>20</v>
      </c>
      <c r="E772" s="2">
        <v>0.7</v>
      </c>
      <c r="F772" s="2">
        <v>0.1</v>
      </c>
      <c r="G772" s="2">
        <v>9.4</v>
      </c>
      <c r="H772" s="3">
        <v>40.52</v>
      </c>
      <c r="I772" s="294"/>
      <c r="J772" s="9"/>
      <c r="O772" s="66"/>
      <c r="P772" s="66"/>
      <c r="Q772" s="66"/>
      <c r="R772" s="66"/>
      <c r="V772" s="40"/>
      <c r="W772" s="40"/>
      <c r="X772" s="40"/>
      <c r="Y772" s="40"/>
      <c r="Z772" s="40"/>
      <c r="AA772" s="40"/>
    </row>
    <row r="773" spans="1:18" ht="30" customHeight="1">
      <c r="A773" s="675" t="s">
        <v>145</v>
      </c>
      <c r="B773" s="675"/>
      <c r="C773" s="675"/>
      <c r="D773" s="1">
        <v>20</v>
      </c>
      <c r="E773" s="2"/>
      <c r="F773" s="2"/>
      <c r="G773" s="2"/>
      <c r="H773" s="3"/>
      <c r="I773" s="294"/>
      <c r="J773" s="10"/>
      <c r="O773" s="96"/>
      <c r="P773" s="96"/>
      <c r="Q773" s="96"/>
      <c r="R773" s="96"/>
    </row>
    <row r="774" spans="1:18" ht="30" customHeight="1">
      <c r="A774" s="674" t="s">
        <v>74</v>
      </c>
      <c r="B774" s="674"/>
      <c r="C774" s="674"/>
      <c r="D774" s="3">
        <v>20</v>
      </c>
      <c r="E774" s="2">
        <v>1</v>
      </c>
      <c r="F774" s="2">
        <v>0.28</v>
      </c>
      <c r="G774" s="2">
        <v>8.1</v>
      </c>
      <c r="H774" s="3">
        <v>38.92</v>
      </c>
      <c r="I774" s="294"/>
      <c r="J774" s="10"/>
      <c r="O774" s="74"/>
      <c r="P774" s="96"/>
      <c r="Q774" s="96"/>
      <c r="R774" s="96"/>
    </row>
    <row r="775" spans="1:18" ht="30" customHeight="1">
      <c r="A775" s="675" t="s">
        <v>72</v>
      </c>
      <c r="B775" s="675"/>
      <c r="C775" s="675"/>
      <c r="D775" s="1">
        <v>20</v>
      </c>
      <c r="E775" s="2"/>
      <c r="F775" s="2"/>
      <c r="G775" s="2"/>
      <c r="H775" s="3"/>
      <c r="I775" s="294"/>
      <c r="J775" s="15"/>
      <c r="O775" s="74"/>
      <c r="P775" s="96"/>
      <c r="Q775" s="96"/>
      <c r="R775" s="96"/>
    </row>
    <row r="776" spans="1:18" ht="30" customHeight="1">
      <c r="A776" s="690" t="s">
        <v>205</v>
      </c>
      <c r="B776" s="690"/>
      <c r="C776" s="690"/>
      <c r="D776" s="565">
        <f>D777+265+D797+D823+D827</f>
        <v>865</v>
      </c>
      <c r="E776" s="227">
        <f>E777+E782+E797+E823+E827+E830+E832</f>
        <v>33.18</v>
      </c>
      <c r="F776" s="227">
        <f>F777+F782+F797+F823+F827+F830+F832</f>
        <v>32.54</v>
      </c>
      <c r="G776" s="227">
        <f>G777+G782+G797+G823+G827+G830+G832</f>
        <v>113</v>
      </c>
      <c r="H776" s="227">
        <f>H777+H782+H797+H823+H827+H830+H832</f>
        <v>877.5799999999999</v>
      </c>
      <c r="I776" s="303"/>
      <c r="J776" s="15"/>
      <c r="O776" s="74"/>
      <c r="P776" s="96"/>
      <c r="Q776" s="96"/>
      <c r="R776" s="96"/>
    </row>
    <row r="777" spans="1:18" ht="30" customHeight="1">
      <c r="A777" s="685" t="s">
        <v>539</v>
      </c>
      <c r="B777" s="685"/>
      <c r="C777" s="685"/>
      <c r="D777" s="223" t="s">
        <v>138</v>
      </c>
      <c r="E777" s="242">
        <v>1.2</v>
      </c>
      <c r="F777" s="242">
        <v>5.1</v>
      </c>
      <c r="G777" s="242">
        <v>4.5</v>
      </c>
      <c r="H777" s="238">
        <f>G777*4+F777*9+E777*4</f>
        <v>68.7</v>
      </c>
      <c r="I777" s="297" t="s">
        <v>540</v>
      </c>
      <c r="J777" s="16"/>
      <c r="O777" s="74"/>
      <c r="P777" s="96"/>
      <c r="Q777" s="96"/>
      <c r="R777" s="96"/>
    </row>
    <row r="778" spans="1:18" ht="30" customHeight="1">
      <c r="A778" s="25" t="s">
        <v>492</v>
      </c>
      <c r="B778" s="43">
        <f>C778*1.02</f>
        <v>78.54</v>
      </c>
      <c r="C778" s="22">
        <v>77</v>
      </c>
      <c r="D778" s="234"/>
      <c r="E778" s="32"/>
      <c r="F778" s="32"/>
      <c r="G778" s="32"/>
      <c r="H778" s="45"/>
      <c r="I778" s="32"/>
      <c r="J778" s="16"/>
      <c r="O778" s="74"/>
      <c r="P778" s="96"/>
      <c r="Q778" s="96"/>
      <c r="R778" s="96"/>
    </row>
    <row r="779" spans="1:18" ht="30" customHeight="1">
      <c r="A779" s="25" t="s">
        <v>114</v>
      </c>
      <c r="B779" s="43">
        <f>C779*1.05</f>
        <v>80.85000000000001</v>
      </c>
      <c r="C779" s="22">
        <v>77</v>
      </c>
      <c r="D779" s="234"/>
      <c r="E779" s="32"/>
      <c r="F779" s="32"/>
      <c r="G779" s="32"/>
      <c r="H779" s="45"/>
      <c r="I779" s="32"/>
      <c r="J779" s="9"/>
      <c r="O779" s="96"/>
      <c r="P779" s="96"/>
      <c r="Q779" s="96"/>
      <c r="R779" s="96"/>
    </row>
    <row r="780" spans="1:18" ht="30" customHeight="1">
      <c r="A780" s="102" t="s">
        <v>324</v>
      </c>
      <c r="B780" s="26">
        <f>C780*1.54</f>
        <v>30.8</v>
      </c>
      <c r="C780" s="26">
        <v>20</v>
      </c>
      <c r="D780" s="234"/>
      <c r="E780" s="32"/>
      <c r="F780" s="32"/>
      <c r="G780" s="32"/>
      <c r="H780" s="45"/>
      <c r="I780" s="21"/>
      <c r="J780" s="9"/>
      <c r="O780" s="96"/>
      <c r="P780" s="96"/>
      <c r="Q780" s="96"/>
      <c r="R780" s="96"/>
    </row>
    <row r="781" spans="1:13" ht="30" customHeight="1">
      <c r="A781" s="89" t="s">
        <v>44</v>
      </c>
      <c r="B781" s="57">
        <v>5</v>
      </c>
      <c r="C781" s="57">
        <v>5</v>
      </c>
      <c r="D781" s="47"/>
      <c r="E781" s="50"/>
      <c r="F781" s="50"/>
      <c r="G781" s="50"/>
      <c r="H781" s="46"/>
      <c r="I781" s="305"/>
      <c r="J781" s="9"/>
      <c r="M781" s="40"/>
    </row>
    <row r="782" spans="1:18" ht="30" customHeight="1">
      <c r="A782" s="685" t="s">
        <v>621</v>
      </c>
      <c r="B782" s="685"/>
      <c r="C782" s="685"/>
      <c r="D782" s="1" t="s">
        <v>206</v>
      </c>
      <c r="E782" s="222">
        <v>6.4</v>
      </c>
      <c r="F782" s="222">
        <v>7.5</v>
      </c>
      <c r="G782" s="222">
        <v>10.2</v>
      </c>
      <c r="H782" s="3">
        <f>G782*4+F782*9+E782*4</f>
        <v>133.9</v>
      </c>
      <c r="I782" s="297" t="s">
        <v>541</v>
      </c>
      <c r="J782" s="9"/>
      <c r="O782" s="40"/>
      <c r="P782" s="40"/>
      <c r="Q782" s="40"/>
      <c r="R782" s="40"/>
    </row>
    <row r="783" spans="1:27" s="95" customFormat="1" ht="30" customHeight="1">
      <c r="A783" s="54" t="s">
        <v>460</v>
      </c>
      <c r="B783" s="37">
        <v>29</v>
      </c>
      <c r="C783" s="24">
        <v>26</v>
      </c>
      <c r="D783" s="58"/>
      <c r="E783" s="242"/>
      <c r="F783" s="242"/>
      <c r="G783" s="242"/>
      <c r="H783" s="242"/>
      <c r="I783" s="510"/>
      <c r="J783" s="9"/>
      <c r="K783" s="80"/>
      <c r="L783" s="80"/>
      <c r="M783" s="40"/>
      <c r="N783" s="80"/>
      <c r="O783" s="80"/>
      <c r="P783" s="80"/>
      <c r="Q783" s="80"/>
      <c r="R783" s="80"/>
      <c r="S783" s="80"/>
      <c r="T783" s="80"/>
      <c r="U783" s="80"/>
      <c r="V783" s="80"/>
      <c r="W783" s="80"/>
      <c r="X783" s="80"/>
      <c r="Y783" s="80"/>
      <c r="Z783" s="80"/>
      <c r="AA783" s="80"/>
    </row>
    <row r="784" spans="1:10" ht="30" customHeight="1">
      <c r="A784" s="54" t="s">
        <v>459</v>
      </c>
      <c r="B784" s="37">
        <f>C784*1.04</f>
        <v>18.72</v>
      </c>
      <c r="C784" s="24">
        <v>18</v>
      </c>
      <c r="D784" s="632"/>
      <c r="E784" s="21"/>
      <c r="F784" s="21"/>
      <c r="G784" s="21"/>
      <c r="H784" s="21"/>
      <c r="I784" s="432"/>
      <c r="J784" s="9"/>
    </row>
    <row r="785" spans="1:10" ht="30" customHeight="1">
      <c r="A785" s="171" t="s">
        <v>457</v>
      </c>
      <c r="B785" s="126">
        <f>C785*1.054</f>
        <v>14.756</v>
      </c>
      <c r="C785" s="23">
        <v>14</v>
      </c>
      <c r="D785" s="632"/>
      <c r="E785" s="21"/>
      <c r="F785" s="21"/>
      <c r="G785" s="21"/>
      <c r="H785" s="21"/>
      <c r="I785" s="432"/>
      <c r="J785" s="9"/>
    </row>
    <row r="786" spans="1:10" ht="30" customHeight="1">
      <c r="A786" s="59" t="s">
        <v>55</v>
      </c>
      <c r="B786" s="162">
        <f>C786*1.25</f>
        <v>66.25</v>
      </c>
      <c r="C786" s="57">
        <v>53</v>
      </c>
      <c r="D786" s="632"/>
      <c r="E786" s="272"/>
      <c r="F786" s="38"/>
      <c r="G786" s="38"/>
      <c r="H786" s="57"/>
      <c r="I786" s="300"/>
      <c r="J786" s="9"/>
    </row>
    <row r="787" spans="1:21" ht="30" customHeight="1">
      <c r="A787" s="279" t="s">
        <v>47</v>
      </c>
      <c r="B787" s="162">
        <f>C787*1.33</f>
        <v>39.900000000000006</v>
      </c>
      <c r="C787" s="23">
        <v>30</v>
      </c>
      <c r="D787" s="632"/>
      <c r="E787" s="21"/>
      <c r="F787" s="21"/>
      <c r="G787" s="21"/>
      <c r="H787" s="238"/>
      <c r="I787" s="300"/>
      <c r="J787" s="7"/>
      <c r="S787" s="83"/>
      <c r="T787" s="83"/>
      <c r="U787" s="83"/>
    </row>
    <row r="788" spans="1:18" ht="30" customHeight="1">
      <c r="A788" s="279" t="s">
        <v>48</v>
      </c>
      <c r="B788" s="162">
        <f>C788*1.43</f>
        <v>42.9</v>
      </c>
      <c r="C788" s="23">
        <v>30</v>
      </c>
      <c r="D788" s="632"/>
      <c r="E788" s="21"/>
      <c r="F788" s="21"/>
      <c r="G788" s="21"/>
      <c r="H788" s="238"/>
      <c r="I788" s="300"/>
      <c r="J788" s="7"/>
      <c r="N788" s="95"/>
      <c r="O788" s="95"/>
      <c r="P788" s="95"/>
      <c r="Q788" s="95"/>
      <c r="R788" s="95"/>
    </row>
    <row r="789" spans="1:27" s="83" customFormat="1" ht="30" customHeight="1">
      <c r="A789" s="100" t="s">
        <v>49</v>
      </c>
      <c r="B789" s="162">
        <f>C789*1.54</f>
        <v>46.2</v>
      </c>
      <c r="C789" s="23">
        <v>30</v>
      </c>
      <c r="D789" s="632"/>
      <c r="E789" s="21"/>
      <c r="F789" s="21"/>
      <c r="G789" s="21"/>
      <c r="H789" s="238"/>
      <c r="I789" s="300"/>
      <c r="J789" s="7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</row>
    <row r="790" spans="1:10" ht="30" customHeight="1">
      <c r="A790" s="100" t="s">
        <v>50</v>
      </c>
      <c r="B790" s="162">
        <f>C790*1.67</f>
        <v>50.099999999999994</v>
      </c>
      <c r="C790" s="23">
        <v>30</v>
      </c>
      <c r="D790" s="632"/>
      <c r="E790" s="21"/>
      <c r="F790" s="21"/>
      <c r="G790" s="21"/>
      <c r="H790" s="238"/>
      <c r="I790" s="300"/>
      <c r="J790" s="7"/>
    </row>
    <row r="791" spans="1:10" ht="30" customHeight="1">
      <c r="A791" s="53" t="s">
        <v>112</v>
      </c>
      <c r="B791" s="163">
        <f>C791*1.25</f>
        <v>12.5</v>
      </c>
      <c r="C791" s="57">
        <v>10</v>
      </c>
      <c r="D791" s="632"/>
      <c r="E791" s="272"/>
      <c r="F791" s="38"/>
      <c r="G791" s="38"/>
      <c r="H791" s="57"/>
      <c r="I791" s="300"/>
      <c r="J791" s="7"/>
    </row>
    <row r="792" spans="1:10" ht="30" customHeight="1">
      <c r="A792" s="59" t="s">
        <v>43</v>
      </c>
      <c r="B792" s="163">
        <f>C792*1.33</f>
        <v>13.3</v>
      </c>
      <c r="C792" s="57">
        <v>10</v>
      </c>
      <c r="D792" s="632"/>
      <c r="E792" s="272"/>
      <c r="F792" s="38"/>
      <c r="G792" s="38"/>
      <c r="H792" s="57"/>
      <c r="I792" s="300"/>
      <c r="J792" s="7"/>
    </row>
    <row r="793" spans="1:10" ht="30" customHeight="1">
      <c r="A793" s="89" t="s">
        <v>83</v>
      </c>
      <c r="B793" s="22">
        <v>3</v>
      </c>
      <c r="C793" s="22">
        <v>3</v>
      </c>
      <c r="D793" s="632"/>
      <c r="E793" s="272"/>
      <c r="F793" s="38"/>
      <c r="G793" s="38"/>
      <c r="H793" s="57"/>
      <c r="I793" s="300"/>
      <c r="J793" s="7"/>
    </row>
    <row r="794" spans="1:18" ht="30" customHeight="1">
      <c r="A794" s="100" t="s">
        <v>51</v>
      </c>
      <c r="B794" s="162">
        <f>C794*1.19</f>
        <v>11.899999999999999</v>
      </c>
      <c r="C794" s="57">
        <v>10</v>
      </c>
      <c r="D794" s="632"/>
      <c r="E794" s="272"/>
      <c r="F794" s="38"/>
      <c r="G794" s="38"/>
      <c r="H794" s="57"/>
      <c r="I794" s="300"/>
      <c r="J794" s="7"/>
      <c r="N794" s="83"/>
      <c r="O794" s="83"/>
      <c r="P794" s="83"/>
      <c r="Q794" s="83"/>
      <c r="R794" s="83"/>
    </row>
    <row r="795" spans="1:10" ht="30" customHeight="1">
      <c r="A795" s="100" t="s">
        <v>70</v>
      </c>
      <c r="B795" s="162">
        <v>5</v>
      </c>
      <c r="C795" s="57">
        <v>5</v>
      </c>
      <c r="D795" s="632"/>
      <c r="E795" s="272"/>
      <c r="F795" s="38"/>
      <c r="G795" s="38"/>
      <c r="H795" s="57"/>
      <c r="I795" s="300"/>
      <c r="J795" s="7"/>
    </row>
    <row r="796" spans="1:10" ht="30" customHeight="1">
      <c r="A796" s="53" t="s">
        <v>52</v>
      </c>
      <c r="B796" s="45">
        <v>5</v>
      </c>
      <c r="C796" s="45">
        <v>5</v>
      </c>
      <c r="D796" s="219"/>
      <c r="E796" s="226"/>
      <c r="F796" s="226"/>
      <c r="G796" s="226"/>
      <c r="H796" s="133"/>
      <c r="I796" s="297"/>
      <c r="J796" s="7"/>
    </row>
    <row r="797" spans="1:27" s="83" customFormat="1" ht="30" customHeight="1">
      <c r="A797" s="675" t="s">
        <v>290</v>
      </c>
      <c r="B797" s="717"/>
      <c r="C797" s="717"/>
      <c r="D797" s="1">
        <v>120</v>
      </c>
      <c r="E797" s="2">
        <v>14.3</v>
      </c>
      <c r="F797" s="2">
        <v>12.9</v>
      </c>
      <c r="G797" s="2">
        <v>4.6</v>
      </c>
      <c r="H797" s="465">
        <f>G797*4+F797*9+E797*4</f>
        <v>191.7</v>
      </c>
      <c r="I797" s="320" t="s">
        <v>291</v>
      </c>
      <c r="J797" s="7"/>
      <c r="M797" s="80"/>
      <c r="N797" s="80"/>
      <c r="O797" s="80"/>
      <c r="P797" s="80"/>
      <c r="Q797" s="80"/>
      <c r="R797" s="80"/>
      <c r="S797" s="95"/>
      <c r="T797" s="95"/>
      <c r="U797" s="95"/>
      <c r="V797" s="80"/>
      <c r="W797" s="80"/>
      <c r="X797" s="80"/>
      <c r="Y797" s="80"/>
      <c r="Z797" s="80"/>
      <c r="AA797" s="80"/>
    </row>
    <row r="798" spans="1:21" ht="30" customHeight="1">
      <c r="A798" s="73" t="s">
        <v>284</v>
      </c>
      <c r="B798" s="323">
        <f>C798*1.2</f>
        <v>136.79999999999998</v>
      </c>
      <c r="C798" s="57">
        <v>114</v>
      </c>
      <c r="D798" s="65"/>
      <c r="E798" s="38"/>
      <c r="F798" s="38"/>
      <c r="G798" s="38"/>
      <c r="H798" s="57"/>
      <c r="I798" s="324"/>
      <c r="J798" s="7"/>
      <c r="K798" s="80" t="s">
        <v>19</v>
      </c>
      <c r="S798" s="95"/>
      <c r="T798" s="95"/>
      <c r="U798" s="95"/>
    </row>
    <row r="799" spans="1:21" ht="30" customHeight="1">
      <c r="A799" s="100" t="s">
        <v>44</v>
      </c>
      <c r="B799" s="280">
        <v>6</v>
      </c>
      <c r="C799" s="47">
        <v>6</v>
      </c>
      <c r="D799" s="65"/>
      <c r="E799" s="21"/>
      <c r="F799" s="21"/>
      <c r="G799" s="21"/>
      <c r="H799" s="238"/>
      <c r="I799" s="386"/>
      <c r="J799" s="7"/>
      <c r="K799" s="27" t="s">
        <v>34</v>
      </c>
      <c r="L799" s="80">
        <f>+D926</f>
        <v>50</v>
      </c>
      <c r="S799" s="95"/>
      <c r="T799" s="95"/>
      <c r="U799" s="95"/>
    </row>
    <row r="800" spans="1:13" ht="30" customHeight="1">
      <c r="A800" s="100" t="s">
        <v>292</v>
      </c>
      <c r="B800" s="280"/>
      <c r="C800" s="47">
        <v>75</v>
      </c>
      <c r="D800" s="65"/>
      <c r="E800" s="50"/>
      <c r="F800" s="50"/>
      <c r="G800" s="50"/>
      <c r="H800" s="46"/>
      <c r="I800" s="325"/>
      <c r="J800" s="113"/>
      <c r="K800" s="28" t="s">
        <v>35</v>
      </c>
      <c r="L800" s="82">
        <f>+D929+C849+C840+C893+C898</f>
        <v>108</v>
      </c>
      <c r="M800" s="95"/>
    </row>
    <row r="801" spans="1:13" ht="30" customHeight="1">
      <c r="A801" s="100" t="s">
        <v>54</v>
      </c>
      <c r="B801" s="161">
        <v>3</v>
      </c>
      <c r="C801" s="46">
        <v>3</v>
      </c>
      <c r="D801" s="65"/>
      <c r="E801" s="50"/>
      <c r="F801" s="326"/>
      <c r="G801" s="50"/>
      <c r="H801" s="46"/>
      <c r="I801" s="325"/>
      <c r="J801" s="7"/>
      <c r="K801" s="28" t="s">
        <v>65</v>
      </c>
      <c r="L801" s="82">
        <f>C845+C914</f>
        <v>19.7</v>
      </c>
      <c r="M801" s="95"/>
    </row>
    <row r="802" spans="1:18" ht="30" customHeight="1">
      <c r="A802" s="100" t="s">
        <v>52</v>
      </c>
      <c r="B802" s="280">
        <v>15</v>
      </c>
      <c r="C802" s="47">
        <v>15</v>
      </c>
      <c r="D802" s="65"/>
      <c r="E802" s="50"/>
      <c r="F802" s="226"/>
      <c r="G802" s="50"/>
      <c r="H802" s="46"/>
      <c r="I802" s="325"/>
      <c r="J802" s="7"/>
      <c r="K802" s="29" t="s">
        <v>66</v>
      </c>
      <c r="L802" s="97">
        <f>C886</f>
        <v>4</v>
      </c>
      <c r="N802" s="83"/>
      <c r="Q802" s="83"/>
      <c r="R802" s="83"/>
    </row>
    <row r="803" spans="1:12" ht="30" customHeight="1">
      <c r="A803" s="100" t="s">
        <v>60</v>
      </c>
      <c r="B803" s="280">
        <v>35</v>
      </c>
      <c r="C803" s="47">
        <v>35</v>
      </c>
      <c r="D803" s="65"/>
      <c r="E803" s="50"/>
      <c r="F803" s="226"/>
      <c r="G803" s="50"/>
      <c r="H803" s="46"/>
      <c r="I803" s="325"/>
      <c r="J803" s="7"/>
      <c r="K803" s="29" t="s">
        <v>59</v>
      </c>
      <c r="L803" s="82"/>
    </row>
    <row r="804" spans="1:27" s="40" customFormat="1" ht="30" customHeight="1">
      <c r="A804" s="692" t="s">
        <v>95</v>
      </c>
      <c r="B804" s="692"/>
      <c r="C804" s="692"/>
      <c r="D804" s="692"/>
      <c r="E804" s="692"/>
      <c r="F804" s="692"/>
      <c r="G804" s="692"/>
      <c r="H804" s="692"/>
      <c r="I804" s="692"/>
      <c r="J804" s="7"/>
      <c r="K804" s="28" t="s">
        <v>22</v>
      </c>
      <c r="L804" s="82">
        <f>C901+C879</f>
        <v>110</v>
      </c>
      <c r="M804" s="80"/>
      <c r="N804" s="80"/>
      <c r="Q804" s="80"/>
      <c r="R804" s="80"/>
      <c r="S804" s="80"/>
      <c r="T804" s="80"/>
      <c r="U804" s="80"/>
      <c r="V804" s="80"/>
      <c r="W804" s="80"/>
      <c r="X804" s="80"/>
      <c r="Y804" s="80"/>
      <c r="Z804" s="80"/>
      <c r="AA804" s="80"/>
    </row>
    <row r="805" spans="1:12" ht="30" customHeight="1">
      <c r="A805" s="671" t="s">
        <v>467</v>
      </c>
      <c r="B805" s="671"/>
      <c r="C805" s="671"/>
      <c r="D805" s="1">
        <v>120</v>
      </c>
      <c r="E805" s="2">
        <v>7.3</v>
      </c>
      <c r="F805" s="2">
        <v>14</v>
      </c>
      <c r="G805" s="2">
        <v>8.9</v>
      </c>
      <c r="H805" s="3">
        <f>E805*4+F805*9+G805*4</f>
        <v>190.79999999999998</v>
      </c>
      <c r="I805" s="300" t="s">
        <v>411</v>
      </c>
      <c r="J805" s="7"/>
      <c r="K805" s="28" t="s">
        <v>24</v>
      </c>
      <c r="L805" s="82">
        <f>+C873+C895++C885+C884+C905+C907+C908+C915+C917+C918+C897</f>
        <v>273.4</v>
      </c>
    </row>
    <row r="806" spans="1:12" ht="30" customHeight="1">
      <c r="A806" s="132" t="s">
        <v>328</v>
      </c>
      <c r="B806" s="37">
        <f>C806*1.17</f>
        <v>26.909999999999997</v>
      </c>
      <c r="C806" s="46">
        <v>23</v>
      </c>
      <c r="D806" s="1"/>
      <c r="E806" s="2"/>
      <c r="F806" s="2"/>
      <c r="G806" s="2"/>
      <c r="H806" s="3"/>
      <c r="I806" s="294"/>
      <c r="J806" s="9"/>
      <c r="K806" s="28" t="s">
        <v>21</v>
      </c>
      <c r="L806" s="82">
        <f>C921++D870</f>
        <v>154</v>
      </c>
    </row>
    <row r="807" spans="1:27" s="40" customFormat="1" ht="30" customHeight="1">
      <c r="A807" s="132" t="s">
        <v>45</v>
      </c>
      <c r="B807" s="37">
        <f>C807*1.36</f>
        <v>31.28</v>
      </c>
      <c r="C807" s="46">
        <v>23</v>
      </c>
      <c r="D807" s="632"/>
      <c r="E807" s="21"/>
      <c r="F807" s="21"/>
      <c r="G807" s="21"/>
      <c r="H807" s="238"/>
      <c r="I807" s="432"/>
      <c r="J807" s="9"/>
      <c r="K807" s="28" t="s">
        <v>25</v>
      </c>
      <c r="L807" s="82"/>
      <c r="M807" s="80"/>
      <c r="N807" s="80"/>
      <c r="Q807" s="80"/>
      <c r="R807" s="80"/>
      <c r="S807" s="80"/>
      <c r="T807" s="80"/>
      <c r="U807" s="80"/>
      <c r="V807" s="80"/>
      <c r="W807" s="80"/>
      <c r="X807" s="80"/>
      <c r="Y807" s="80"/>
      <c r="Z807" s="80"/>
      <c r="AA807" s="80"/>
    </row>
    <row r="808" spans="1:11" ht="30" customHeight="1">
      <c r="A808" s="54" t="s">
        <v>46</v>
      </c>
      <c r="B808" s="37">
        <f>C808*1.18</f>
        <v>27.139999999999997</v>
      </c>
      <c r="C808" s="46">
        <v>23</v>
      </c>
      <c r="D808" s="632"/>
      <c r="E808" s="21"/>
      <c r="F808" s="21"/>
      <c r="G808" s="21"/>
      <c r="H808" s="238"/>
      <c r="I808" s="432"/>
      <c r="J808" s="8"/>
      <c r="K808" s="28" t="s">
        <v>61</v>
      </c>
    </row>
    <row r="809" spans="1:12" ht="30" customHeight="1">
      <c r="A809" s="20" t="s">
        <v>57</v>
      </c>
      <c r="B809" s="26">
        <v>9</v>
      </c>
      <c r="C809" s="47">
        <v>9</v>
      </c>
      <c r="D809" s="632"/>
      <c r="E809" s="50"/>
      <c r="F809" s="50"/>
      <c r="G809" s="50"/>
      <c r="H809" s="46"/>
      <c r="I809" s="468"/>
      <c r="J809" s="9"/>
      <c r="K809" s="28" t="s">
        <v>20</v>
      </c>
      <c r="L809" s="82">
        <f>+C868+C924+C847+C919</f>
        <v>35.6</v>
      </c>
    </row>
    <row r="810" spans="1:12" ht="30" customHeight="1">
      <c r="A810" s="20" t="s">
        <v>60</v>
      </c>
      <c r="B810" s="26">
        <v>17</v>
      </c>
      <c r="C810" s="47">
        <v>17</v>
      </c>
      <c r="D810" s="632"/>
      <c r="E810" s="50"/>
      <c r="F810" s="50"/>
      <c r="G810" s="50"/>
      <c r="H810" s="46"/>
      <c r="I810" s="468"/>
      <c r="J810" s="9"/>
      <c r="K810" s="28" t="s">
        <v>26</v>
      </c>
      <c r="L810" s="82">
        <f>C843</f>
        <v>40</v>
      </c>
    </row>
    <row r="811" spans="1:11" ht="30" customHeight="1">
      <c r="A811" s="25" t="s">
        <v>412</v>
      </c>
      <c r="B811" s="26"/>
      <c r="C811" s="47">
        <v>24</v>
      </c>
      <c r="D811" s="632"/>
      <c r="E811" s="50"/>
      <c r="F811" s="50"/>
      <c r="G811" s="50"/>
      <c r="H811" s="46"/>
      <c r="I811" s="468"/>
      <c r="J811" s="36"/>
      <c r="K811" s="27" t="s">
        <v>79</v>
      </c>
    </row>
    <row r="812" spans="1:27" s="83" customFormat="1" ht="30" customHeight="1">
      <c r="A812" s="20" t="s">
        <v>51</v>
      </c>
      <c r="B812" s="26">
        <f>C812*1.19</f>
        <v>26.18</v>
      </c>
      <c r="C812" s="47">
        <v>22</v>
      </c>
      <c r="D812" s="632"/>
      <c r="E812" s="50"/>
      <c r="F812" s="50"/>
      <c r="G812" s="50"/>
      <c r="H812" s="46"/>
      <c r="I812" s="468"/>
      <c r="J812" s="9"/>
      <c r="K812" s="28" t="s">
        <v>27</v>
      </c>
      <c r="L812" s="319"/>
      <c r="M812" s="80"/>
      <c r="N812" s="40"/>
      <c r="Q812" s="40"/>
      <c r="R812" s="40"/>
      <c r="S812" s="80"/>
      <c r="T812" s="80"/>
      <c r="U812" s="80"/>
      <c r="V812" s="80"/>
      <c r="W812" s="80"/>
      <c r="X812" s="80"/>
      <c r="Y812" s="80"/>
      <c r="Z812" s="80"/>
      <c r="AA812" s="80"/>
    </row>
    <row r="813" spans="1:12" ht="30" customHeight="1">
      <c r="A813" s="20" t="s">
        <v>70</v>
      </c>
      <c r="B813" s="26">
        <v>2.5</v>
      </c>
      <c r="C813" s="26">
        <v>2.5</v>
      </c>
      <c r="D813" s="632"/>
      <c r="E813" s="50"/>
      <c r="F813" s="50"/>
      <c r="G813" s="50"/>
      <c r="H813" s="46"/>
      <c r="I813" s="472"/>
      <c r="J813" s="9"/>
      <c r="K813" s="27" t="s">
        <v>199</v>
      </c>
      <c r="L813" s="262">
        <f>B867</f>
        <v>4</v>
      </c>
    </row>
    <row r="814" spans="1:12" ht="30" customHeight="1">
      <c r="A814" s="25" t="s">
        <v>413</v>
      </c>
      <c r="B814" s="26"/>
      <c r="C814" s="26">
        <v>11</v>
      </c>
      <c r="D814" s="632"/>
      <c r="E814" s="50"/>
      <c r="F814" s="50"/>
      <c r="G814" s="50"/>
      <c r="H814" s="46"/>
      <c r="I814" s="472"/>
      <c r="J814" s="9"/>
      <c r="K814" s="28" t="s">
        <v>67</v>
      </c>
      <c r="L814" s="82">
        <f>C891+C877+C890</f>
        <v>90</v>
      </c>
    </row>
    <row r="815" spans="1:12" ht="30" customHeight="1">
      <c r="A815" s="106" t="s">
        <v>54</v>
      </c>
      <c r="B815" s="58">
        <v>7</v>
      </c>
      <c r="C815" s="58">
        <v>7</v>
      </c>
      <c r="D815" s="632"/>
      <c r="E815" s="38"/>
      <c r="F815" s="38"/>
      <c r="G815" s="38"/>
      <c r="H815" s="57"/>
      <c r="I815" s="473"/>
      <c r="J815" s="9"/>
      <c r="K815" s="27" t="s">
        <v>200</v>
      </c>
      <c r="L815" s="263"/>
    </row>
    <row r="816" spans="1:13" ht="30" customHeight="1">
      <c r="A816" s="59" t="s">
        <v>117</v>
      </c>
      <c r="B816" s="469">
        <v>1.5</v>
      </c>
      <c r="C816" s="469">
        <v>1.5</v>
      </c>
      <c r="D816" s="632"/>
      <c r="E816" s="38"/>
      <c r="F816" s="38"/>
      <c r="G816" s="38"/>
      <c r="H816" s="57"/>
      <c r="I816" s="473"/>
      <c r="J816" s="9"/>
      <c r="K816" s="27" t="s">
        <v>62</v>
      </c>
      <c r="L816" s="82"/>
      <c r="M816" s="40"/>
    </row>
    <row r="817" spans="1:12" ht="30" customHeight="1">
      <c r="A817" s="59" t="s">
        <v>416</v>
      </c>
      <c r="B817" s="469"/>
      <c r="C817" s="469">
        <v>70</v>
      </c>
      <c r="D817" s="632"/>
      <c r="E817" s="38"/>
      <c r="F817" s="38"/>
      <c r="G817" s="38"/>
      <c r="H817" s="57"/>
      <c r="I817" s="473"/>
      <c r="J817" s="9"/>
      <c r="K817" s="28" t="s">
        <v>28</v>
      </c>
      <c r="L817" s="82"/>
    </row>
    <row r="818" spans="1:18" ht="30" customHeight="1">
      <c r="A818" s="20" t="s">
        <v>414</v>
      </c>
      <c r="B818" s="278"/>
      <c r="C818" s="149">
        <v>50</v>
      </c>
      <c r="D818" s="1"/>
      <c r="E818" s="63"/>
      <c r="F818" s="63"/>
      <c r="G818" s="63"/>
      <c r="H818" s="3"/>
      <c r="I818" s="300" t="s">
        <v>415</v>
      </c>
      <c r="J818" s="9"/>
      <c r="K818" s="30" t="s">
        <v>29</v>
      </c>
      <c r="L818" s="82">
        <f>C852+C894+C869</f>
        <v>132</v>
      </c>
      <c r="Q818" s="83"/>
      <c r="R818" s="83"/>
    </row>
    <row r="819" spans="1:12" ht="30" customHeight="1">
      <c r="A819" s="42" t="s">
        <v>373</v>
      </c>
      <c r="B819" s="424">
        <v>12.5</v>
      </c>
      <c r="C819" s="424">
        <v>12.5</v>
      </c>
      <c r="D819" s="22"/>
      <c r="E819" s="43"/>
      <c r="F819" s="43"/>
      <c r="G819" s="43"/>
      <c r="H819" s="26"/>
      <c r="I819" s="425"/>
      <c r="J819" s="9"/>
      <c r="K819" s="72" t="s">
        <v>85</v>
      </c>
      <c r="L819" s="82"/>
    </row>
    <row r="820" spans="1:27" ht="30" customHeight="1">
      <c r="A820" s="20" t="s">
        <v>54</v>
      </c>
      <c r="B820" s="22">
        <v>1.3</v>
      </c>
      <c r="C820" s="22">
        <v>1.3</v>
      </c>
      <c r="D820" s="270"/>
      <c r="E820" s="32"/>
      <c r="F820" s="32"/>
      <c r="G820" s="32"/>
      <c r="H820" s="45"/>
      <c r="I820" s="423"/>
      <c r="J820" s="9"/>
      <c r="K820" s="27" t="s">
        <v>30</v>
      </c>
      <c r="L820" s="82">
        <f>C844</f>
        <v>149</v>
      </c>
      <c r="V820" s="40"/>
      <c r="W820" s="40"/>
      <c r="X820" s="40"/>
      <c r="Y820" s="40"/>
      <c r="Z820" s="40"/>
      <c r="AA820" s="40"/>
    </row>
    <row r="821" spans="1:12" ht="30" customHeight="1">
      <c r="A821" s="20" t="s">
        <v>70</v>
      </c>
      <c r="B821" s="22">
        <v>1.3</v>
      </c>
      <c r="C821" s="22">
        <v>1.3</v>
      </c>
      <c r="D821" s="218"/>
      <c r="E821" s="43"/>
      <c r="F821" s="43"/>
      <c r="G821" s="43"/>
      <c r="H821" s="26"/>
      <c r="I821" s="328"/>
      <c r="J821" s="9"/>
      <c r="K821" s="27" t="s">
        <v>31</v>
      </c>
      <c r="L821" s="82">
        <f>+C848</f>
        <v>15</v>
      </c>
    </row>
    <row r="822" spans="1:27" s="40" customFormat="1" ht="30" customHeight="1">
      <c r="A822" s="42" t="s">
        <v>60</v>
      </c>
      <c r="B822" s="49">
        <v>40</v>
      </c>
      <c r="C822" s="49">
        <v>40</v>
      </c>
      <c r="D822" s="22"/>
      <c r="E822" s="43"/>
      <c r="F822" s="43"/>
      <c r="G822" s="43"/>
      <c r="H822" s="26"/>
      <c r="I822" s="426"/>
      <c r="J822" s="9"/>
      <c r="K822" s="28" t="s">
        <v>68</v>
      </c>
      <c r="L822" s="80"/>
      <c r="M822" s="80"/>
      <c r="N822" s="80"/>
      <c r="Q822" s="80"/>
      <c r="R822" s="80"/>
      <c r="S822" s="80"/>
      <c r="T822" s="80"/>
      <c r="U822" s="80"/>
      <c r="V822" s="80"/>
      <c r="W822" s="80"/>
      <c r="X822" s="80"/>
      <c r="Y822" s="80"/>
      <c r="Z822" s="80"/>
      <c r="AA822" s="80"/>
    </row>
    <row r="823" spans="1:12" ht="30" customHeight="1">
      <c r="A823" s="674" t="s">
        <v>379</v>
      </c>
      <c r="B823" s="674"/>
      <c r="C823" s="674"/>
      <c r="D823" s="1">
        <v>180</v>
      </c>
      <c r="E823" s="2">
        <v>5.6</v>
      </c>
      <c r="F823" s="2">
        <v>5.8</v>
      </c>
      <c r="G823" s="2">
        <v>24.72</v>
      </c>
      <c r="H823" s="3">
        <f>G823*4+F823*9+E823*4</f>
        <v>173.48</v>
      </c>
      <c r="I823" s="297" t="s">
        <v>241</v>
      </c>
      <c r="J823" s="9"/>
      <c r="K823" s="27" t="s">
        <v>32</v>
      </c>
      <c r="L823" s="82">
        <f>B850+C888+B841++C913</f>
        <v>24</v>
      </c>
    </row>
    <row r="824" spans="1:12" ht="30" customHeight="1">
      <c r="A824" s="53" t="s">
        <v>53</v>
      </c>
      <c r="B824" s="23">
        <v>45</v>
      </c>
      <c r="C824" s="23">
        <v>45</v>
      </c>
      <c r="D824" s="22"/>
      <c r="E824" s="160"/>
      <c r="F824" s="160"/>
      <c r="G824" s="160"/>
      <c r="H824" s="3"/>
      <c r="I824" s="297"/>
      <c r="J824" s="9"/>
      <c r="K824" s="27" t="s">
        <v>23</v>
      </c>
      <c r="L824" s="81">
        <f>+C875+C899+C910</f>
        <v>15</v>
      </c>
    </row>
    <row r="825" spans="1:12" ht="30" customHeight="1">
      <c r="A825" s="53" t="s">
        <v>60</v>
      </c>
      <c r="B825" s="23">
        <v>144</v>
      </c>
      <c r="C825" s="23">
        <v>144</v>
      </c>
      <c r="D825" s="22"/>
      <c r="E825" s="35"/>
      <c r="F825" s="35"/>
      <c r="G825" s="35"/>
      <c r="H825" s="26"/>
      <c r="I825" s="297"/>
      <c r="J825" s="10"/>
      <c r="K825" s="28" t="s">
        <v>33</v>
      </c>
      <c r="L825" s="82">
        <f>B846+C896++C887</f>
        <v>44</v>
      </c>
    </row>
    <row r="826" spans="1:27" s="83" customFormat="1" ht="30.75" customHeight="1">
      <c r="A826" s="89" t="s">
        <v>40</v>
      </c>
      <c r="B826" s="23">
        <v>6</v>
      </c>
      <c r="C826" s="23">
        <v>6</v>
      </c>
      <c r="D826" s="43"/>
      <c r="E826" s="43"/>
      <c r="F826" s="43"/>
      <c r="G826" s="43"/>
      <c r="H826" s="26"/>
      <c r="I826" s="304"/>
      <c r="J826" s="10"/>
      <c r="K826" s="28" t="s">
        <v>78</v>
      </c>
      <c r="L826" s="81"/>
      <c r="M826" s="80"/>
      <c r="N826" s="80"/>
      <c r="Q826" s="80"/>
      <c r="R826" s="80"/>
      <c r="S826" s="80"/>
      <c r="T826" s="80"/>
      <c r="U826" s="80"/>
      <c r="V826" s="80"/>
      <c r="W826" s="80"/>
      <c r="X826" s="80"/>
      <c r="Y826" s="80"/>
      <c r="Z826" s="80"/>
      <c r="AA826" s="80"/>
    </row>
    <row r="827" spans="1:12" ht="30.75" customHeight="1">
      <c r="A827" s="701" t="s">
        <v>235</v>
      </c>
      <c r="B827" s="701"/>
      <c r="C827" s="701"/>
      <c r="D827" s="4">
        <v>200</v>
      </c>
      <c r="E827" s="222">
        <v>0.8</v>
      </c>
      <c r="F827" s="222">
        <v>0</v>
      </c>
      <c r="G827" s="222">
        <v>27.2</v>
      </c>
      <c r="H827" s="105">
        <f>G827*4+F827*9+E827*4</f>
        <v>112</v>
      </c>
      <c r="I827" s="294" t="s">
        <v>236</v>
      </c>
      <c r="J827" s="10"/>
      <c r="K827" s="264" t="s">
        <v>193</v>
      </c>
      <c r="L827" s="82">
        <f>C925</f>
        <v>7</v>
      </c>
    </row>
    <row r="828" spans="1:10" ht="30.75" customHeight="1">
      <c r="A828" s="20" t="s">
        <v>210</v>
      </c>
      <c r="B828" s="23">
        <v>20</v>
      </c>
      <c r="C828" s="22">
        <v>20</v>
      </c>
      <c r="D828" s="22"/>
      <c r="E828" s="43"/>
      <c r="F828" s="43"/>
      <c r="G828" s="43"/>
      <c r="H828" s="26"/>
      <c r="I828" s="294"/>
      <c r="J828" s="10"/>
    </row>
    <row r="829" spans="1:10" ht="30.75" customHeight="1">
      <c r="A829" s="20" t="s">
        <v>39</v>
      </c>
      <c r="B829" s="22">
        <v>15</v>
      </c>
      <c r="C829" s="22">
        <v>15</v>
      </c>
      <c r="D829" s="22"/>
      <c r="E829" s="43"/>
      <c r="F829" s="43"/>
      <c r="G829" s="43"/>
      <c r="H829" s="26"/>
      <c r="I829" s="294"/>
      <c r="J829" s="10"/>
    </row>
    <row r="830" spans="1:10" ht="30.75" customHeight="1">
      <c r="A830" s="674" t="s">
        <v>34</v>
      </c>
      <c r="B830" s="674"/>
      <c r="C830" s="674"/>
      <c r="D830" s="1">
        <v>40</v>
      </c>
      <c r="E830" s="2">
        <v>1.88</v>
      </c>
      <c r="F830" s="2">
        <v>0.4</v>
      </c>
      <c r="G830" s="2">
        <v>17.48</v>
      </c>
      <c r="H830" s="3">
        <v>81.04</v>
      </c>
      <c r="I830" s="294"/>
      <c r="J830" s="10"/>
    </row>
    <row r="831" spans="1:27" ht="30.75" customHeight="1">
      <c r="A831" s="675" t="s">
        <v>145</v>
      </c>
      <c r="B831" s="675"/>
      <c r="C831" s="675"/>
      <c r="D831" s="1">
        <v>40</v>
      </c>
      <c r="E831" s="2"/>
      <c r="F831" s="2"/>
      <c r="G831" s="2"/>
      <c r="H831" s="3"/>
      <c r="I831" s="294"/>
      <c r="J831" s="10"/>
      <c r="V831" s="83"/>
      <c r="W831" s="83"/>
      <c r="X831" s="83"/>
      <c r="Y831" s="83"/>
      <c r="Z831" s="83"/>
      <c r="AA831" s="83"/>
    </row>
    <row r="832" spans="1:10" ht="30.75" customHeight="1">
      <c r="A832" s="674" t="s">
        <v>74</v>
      </c>
      <c r="B832" s="674"/>
      <c r="C832" s="674"/>
      <c r="D832" s="3">
        <v>60</v>
      </c>
      <c r="E832" s="2">
        <v>3</v>
      </c>
      <c r="F832" s="2">
        <v>0.8400000000000001</v>
      </c>
      <c r="G832" s="2">
        <v>24.299999999999997</v>
      </c>
      <c r="H832" s="3">
        <v>116.76</v>
      </c>
      <c r="I832" s="294"/>
      <c r="J832" s="10"/>
    </row>
    <row r="833" spans="1:10" ht="30.75" customHeight="1">
      <c r="A833" s="675" t="s">
        <v>72</v>
      </c>
      <c r="B833" s="675"/>
      <c r="C833" s="675"/>
      <c r="D833" s="1">
        <v>60</v>
      </c>
      <c r="E833" s="2"/>
      <c r="F833" s="2"/>
      <c r="G833" s="2"/>
      <c r="H833" s="3"/>
      <c r="I833" s="294"/>
      <c r="J833" s="10"/>
    </row>
    <row r="834" spans="1:10" ht="30.75" customHeight="1">
      <c r="A834" s="698" t="s">
        <v>202</v>
      </c>
      <c r="B834" s="698"/>
      <c r="C834" s="698"/>
      <c r="D834" s="315"/>
      <c r="E834" s="235">
        <f>E748+E776</f>
        <v>49.36</v>
      </c>
      <c r="F834" s="235">
        <f>F748+F776</f>
        <v>47.32</v>
      </c>
      <c r="G834" s="235">
        <f>G748+G776</f>
        <v>211.4</v>
      </c>
      <c r="H834" s="267">
        <f>H748+H776</f>
        <v>1468.1399999999999</v>
      </c>
      <c r="I834" s="302"/>
      <c r="J834" s="10"/>
    </row>
    <row r="835" spans="1:10" ht="30.75" customHeight="1">
      <c r="A835" s="706" t="s">
        <v>19</v>
      </c>
      <c r="B835" s="706"/>
      <c r="C835" s="706"/>
      <c r="D835" s="706"/>
      <c r="E835" s="706"/>
      <c r="F835" s="706"/>
      <c r="G835" s="706"/>
      <c r="H835" s="707"/>
      <c r="I835" s="706"/>
      <c r="J835" s="10"/>
    </row>
    <row r="836" spans="1:23" ht="30.75" customHeight="1">
      <c r="A836" s="693" t="s">
        <v>1</v>
      </c>
      <c r="B836" s="676" t="s">
        <v>2</v>
      </c>
      <c r="C836" s="676" t="s">
        <v>3</v>
      </c>
      <c r="D836" s="676" t="s">
        <v>4</v>
      </c>
      <c r="E836" s="676"/>
      <c r="F836" s="676"/>
      <c r="G836" s="676"/>
      <c r="H836" s="676"/>
      <c r="I836" s="682" t="s">
        <v>201</v>
      </c>
      <c r="J836" s="10"/>
      <c r="O836" s="703"/>
      <c r="P836" s="703"/>
      <c r="Q836" s="703"/>
      <c r="R836" s="334"/>
      <c r="S836" s="335"/>
      <c r="T836" s="335"/>
      <c r="U836" s="335"/>
      <c r="V836" s="335"/>
      <c r="W836" s="336"/>
    </row>
    <row r="837" spans="1:23" ht="30.75" customHeight="1">
      <c r="A837" s="693"/>
      <c r="B837" s="676"/>
      <c r="C837" s="676"/>
      <c r="D837" s="6" t="s">
        <v>5</v>
      </c>
      <c r="E837" s="62" t="s">
        <v>6</v>
      </c>
      <c r="F837" s="62" t="s">
        <v>7</v>
      </c>
      <c r="G837" s="62" t="s">
        <v>8</v>
      </c>
      <c r="H837" s="69" t="s">
        <v>9</v>
      </c>
      <c r="I837" s="682"/>
      <c r="J837" s="10"/>
      <c r="K837" s="40"/>
      <c r="L837" s="40"/>
      <c r="O837" s="180"/>
      <c r="P837" s="363"/>
      <c r="Q837" s="364"/>
      <c r="R837" s="256"/>
      <c r="S837" s="335"/>
      <c r="T837" s="335"/>
      <c r="U837" s="335"/>
      <c r="V837" s="335"/>
      <c r="W837" s="336"/>
    </row>
    <row r="838" spans="1:23" ht="30.75" customHeight="1">
      <c r="A838" s="690" t="s">
        <v>10</v>
      </c>
      <c r="B838" s="690"/>
      <c r="C838" s="690"/>
      <c r="D838" s="243">
        <f>40+220+D866+D870</f>
        <v>590</v>
      </c>
      <c r="E838" s="71">
        <f>E839+E842+E866+E870</f>
        <v>21.500000000000004</v>
      </c>
      <c r="F838" s="71">
        <f>F839+F842+F866+F870</f>
        <v>22.3</v>
      </c>
      <c r="G838" s="71">
        <f>G839+G842+G866+G870</f>
        <v>83.5</v>
      </c>
      <c r="H838" s="265">
        <f>H839+H842+H866+H870</f>
        <v>620.7</v>
      </c>
      <c r="I838" s="293"/>
      <c r="J838" s="10"/>
      <c r="M838" s="83"/>
      <c r="O838" s="365"/>
      <c r="P838" s="366"/>
      <c r="Q838" s="364"/>
      <c r="R838" s="256"/>
      <c r="S838" s="335"/>
      <c r="T838" s="335"/>
      <c r="U838" s="335"/>
      <c r="V838" s="335"/>
      <c r="W838" s="336"/>
    </row>
    <row r="839" spans="1:23" ht="30.75" customHeight="1">
      <c r="A839" s="675" t="s">
        <v>244</v>
      </c>
      <c r="B839" s="675"/>
      <c r="C839" s="675"/>
      <c r="D839" s="145" t="s">
        <v>96</v>
      </c>
      <c r="E839" s="2">
        <v>2.3</v>
      </c>
      <c r="F839" s="2">
        <v>7.4</v>
      </c>
      <c r="G839" s="2">
        <v>14.5</v>
      </c>
      <c r="H839" s="3">
        <f>G839*4+F839*9+E839*4</f>
        <v>133.8</v>
      </c>
      <c r="I839" s="294" t="s">
        <v>245</v>
      </c>
      <c r="J839" s="10"/>
      <c r="O839" s="367"/>
      <c r="P839" s="368"/>
      <c r="Q839" s="368"/>
      <c r="R839" s="256"/>
      <c r="S839" s="335"/>
      <c r="T839" s="335"/>
      <c r="U839" s="335"/>
      <c r="V839" s="360"/>
      <c r="W839" s="376"/>
    </row>
    <row r="840" spans="1:10" ht="30.75" customHeight="1">
      <c r="A840" s="101" t="s">
        <v>393</v>
      </c>
      <c r="B840" s="22">
        <v>30</v>
      </c>
      <c r="C840" s="22">
        <v>30</v>
      </c>
      <c r="D840" s="22"/>
      <c r="E840" s="35"/>
      <c r="F840" s="35"/>
      <c r="G840" s="35"/>
      <c r="H840" s="26"/>
      <c r="I840" s="297"/>
      <c r="J840" s="10"/>
    </row>
    <row r="841" spans="1:10" ht="30.75" customHeight="1">
      <c r="A841" s="59" t="s">
        <v>471</v>
      </c>
      <c r="B841" s="23">
        <v>10</v>
      </c>
      <c r="C841" s="23">
        <v>10</v>
      </c>
      <c r="D841" s="22"/>
      <c r="E841" s="35"/>
      <c r="F841" s="35"/>
      <c r="G841" s="35"/>
      <c r="H841" s="26"/>
      <c r="I841" s="304"/>
      <c r="J841" s="10"/>
    </row>
    <row r="842" spans="1:10" ht="30.75" customHeight="1">
      <c r="A842" s="671" t="s">
        <v>286</v>
      </c>
      <c r="B842" s="671"/>
      <c r="C842" s="671"/>
      <c r="D842" s="632" t="s">
        <v>116</v>
      </c>
      <c r="E842" s="2">
        <v>16.3</v>
      </c>
      <c r="F842" s="2">
        <v>11.9</v>
      </c>
      <c r="G842" s="2">
        <v>34.3</v>
      </c>
      <c r="H842" s="238">
        <f>G842*4+F842*9+E842*4</f>
        <v>309.5</v>
      </c>
      <c r="I842" s="300" t="s">
        <v>287</v>
      </c>
      <c r="J842" s="10"/>
    </row>
    <row r="843" spans="1:10" ht="30" customHeight="1">
      <c r="A843" s="25" t="s">
        <v>288</v>
      </c>
      <c r="B843" s="26">
        <v>40</v>
      </c>
      <c r="C843" s="26">
        <v>40</v>
      </c>
      <c r="D843" s="632"/>
      <c r="E843" s="21"/>
      <c r="F843" s="21"/>
      <c r="G843" s="21"/>
      <c r="H843" s="238"/>
      <c r="I843" s="327"/>
      <c r="J843" s="10"/>
    </row>
    <row r="844" spans="1:10" ht="30" customHeight="1">
      <c r="A844" s="20" t="s">
        <v>56</v>
      </c>
      <c r="B844" s="26">
        <v>151</v>
      </c>
      <c r="C844" s="26">
        <v>149</v>
      </c>
      <c r="D844" s="632"/>
      <c r="E844" s="32"/>
      <c r="F844" s="32"/>
      <c r="G844" s="32"/>
      <c r="H844" s="45"/>
      <c r="I844" s="327"/>
      <c r="J844" s="10"/>
    </row>
    <row r="845" spans="1:14" ht="30" customHeight="1">
      <c r="A845" s="53" t="s">
        <v>54</v>
      </c>
      <c r="B845" s="45">
        <v>17</v>
      </c>
      <c r="C845" s="45">
        <v>17</v>
      </c>
      <c r="D845" s="632"/>
      <c r="E845" s="32"/>
      <c r="F845" s="32"/>
      <c r="G845" s="32"/>
      <c r="H845" s="45"/>
      <c r="I845" s="327"/>
      <c r="J845" s="10"/>
      <c r="N845" s="86"/>
    </row>
    <row r="846" spans="1:27" ht="30" customHeight="1">
      <c r="A846" s="25" t="s">
        <v>91</v>
      </c>
      <c r="B846" s="26">
        <v>20</v>
      </c>
      <c r="C846" s="26">
        <v>20</v>
      </c>
      <c r="D846" s="632"/>
      <c r="E846" s="32"/>
      <c r="F846" s="32"/>
      <c r="G846" s="32"/>
      <c r="H846" s="45"/>
      <c r="I846" s="329"/>
      <c r="J846" s="10"/>
      <c r="N846" s="86"/>
      <c r="V846" s="40"/>
      <c r="W846" s="40"/>
      <c r="X846" s="40"/>
      <c r="Y846" s="40"/>
      <c r="Z846" s="40"/>
      <c r="AA846" s="40"/>
    </row>
    <row r="847" spans="1:14" ht="30" customHeight="1">
      <c r="A847" s="20" t="s">
        <v>39</v>
      </c>
      <c r="B847" s="26">
        <v>10</v>
      </c>
      <c r="C847" s="26">
        <v>10</v>
      </c>
      <c r="D847" s="632"/>
      <c r="E847" s="32"/>
      <c r="F847" s="21"/>
      <c r="G847" s="21"/>
      <c r="H847" s="238"/>
      <c r="I847" s="329"/>
      <c r="J847" s="39"/>
      <c r="N847" s="86"/>
    </row>
    <row r="848" spans="1:18" ht="30" customHeight="1">
      <c r="A848" s="59" t="s">
        <v>52</v>
      </c>
      <c r="B848" s="45">
        <v>15</v>
      </c>
      <c r="C848" s="45">
        <v>15</v>
      </c>
      <c r="D848" s="632"/>
      <c r="E848" s="32"/>
      <c r="F848" s="21"/>
      <c r="G848" s="21"/>
      <c r="H848" s="238"/>
      <c r="I848" s="329"/>
      <c r="J848" s="10"/>
      <c r="N848" s="88"/>
      <c r="O848" s="40"/>
      <c r="P848" s="40"/>
      <c r="Q848" s="40"/>
      <c r="R848" s="40"/>
    </row>
    <row r="849" spans="1:14" ht="30" customHeight="1">
      <c r="A849" s="20" t="s">
        <v>97</v>
      </c>
      <c r="B849" s="26">
        <v>10</v>
      </c>
      <c r="C849" s="26">
        <v>10</v>
      </c>
      <c r="D849" s="632"/>
      <c r="E849" s="32"/>
      <c r="F849" s="21"/>
      <c r="G849" s="21"/>
      <c r="H849" s="238"/>
      <c r="I849" s="329"/>
      <c r="J849" s="10"/>
      <c r="N849" s="86"/>
    </row>
    <row r="850" spans="1:27" s="40" customFormat="1" ht="30" customHeight="1">
      <c r="A850" s="20" t="s">
        <v>64</v>
      </c>
      <c r="B850" s="26">
        <v>5</v>
      </c>
      <c r="C850" s="26">
        <v>5</v>
      </c>
      <c r="D850" s="632"/>
      <c r="E850" s="32"/>
      <c r="F850" s="21"/>
      <c r="G850" s="21"/>
      <c r="H850" s="238"/>
      <c r="I850" s="329"/>
      <c r="J850" s="10"/>
      <c r="M850" s="737"/>
      <c r="N850" s="737"/>
      <c r="O850" s="737"/>
      <c r="P850" s="358"/>
      <c r="Q850" s="633"/>
      <c r="R850" s="633"/>
      <c r="S850" s="633"/>
      <c r="T850" s="634"/>
      <c r="U850" s="633"/>
      <c r="V850" s="80"/>
      <c r="W850" s="80"/>
      <c r="X850" s="80"/>
      <c r="Y850" s="80"/>
      <c r="Z850" s="80"/>
      <c r="AA850" s="80"/>
    </row>
    <row r="851" spans="1:21" ht="30" customHeight="1">
      <c r="A851" s="20" t="s">
        <v>289</v>
      </c>
      <c r="B851" s="26"/>
      <c r="C851" s="26">
        <v>200</v>
      </c>
      <c r="D851" s="632"/>
      <c r="E851" s="32"/>
      <c r="F851" s="21"/>
      <c r="G851" s="21"/>
      <c r="H851" s="238"/>
      <c r="I851" s="329"/>
      <c r="J851" s="10"/>
      <c r="M851" s="340"/>
      <c r="N851" s="341"/>
      <c r="O851" s="555"/>
      <c r="P851" s="556"/>
      <c r="Q851" s="414"/>
      <c r="R851" s="414"/>
      <c r="S851" s="414"/>
      <c r="T851" s="415"/>
      <c r="U851" s="414"/>
    </row>
    <row r="852" spans="1:21" ht="30" customHeight="1">
      <c r="A852" s="59" t="s">
        <v>108</v>
      </c>
      <c r="B852" s="23">
        <v>20.2</v>
      </c>
      <c r="C852" s="23">
        <v>20</v>
      </c>
      <c r="D852" s="23"/>
      <c r="E852" s="32"/>
      <c r="F852" s="32"/>
      <c r="G852" s="32"/>
      <c r="H852" s="45"/>
      <c r="I852" s="330"/>
      <c r="J852" s="10"/>
      <c r="M852" s="340"/>
      <c r="N852" s="341"/>
      <c r="O852" s="555"/>
      <c r="P852" s="556"/>
      <c r="Q852" s="414"/>
      <c r="R852" s="414"/>
      <c r="S852" s="414"/>
      <c r="T852" s="415"/>
      <c r="U852" s="414"/>
    </row>
    <row r="853" spans="1:21" ht="30" customHeight="1">
      <c r="A853" s="692" t="s">
        <v>95</v>
      </c>
      <c r="B853" s="692"/>
      <c r="C853" s="692"/>
      <c r="D853" s="692"/>
      <c r="E853" s="692"/>
      <c r="F853" s="692"/>
      <c r="G853" s="692"/>
      <c r="H853" s="692"/>
      <c r="I853" s="692"/>
      <c r="J853" s="10"/>
      <c r="M853" s="557"/>
      <c r="N853" s="135"/>
      <c r="O853" s="486"/>
      <c r="P853" s="481"/>
      <c r="Q853" s="488"/>
      <c r="R853" s="488"/>
      <c r="S853" s="488"/>
      <c r="T853" s="486"/>
      <c r="U853" s="488"/>
    </row>
    <row r="854" spans="1:21" ht="30" customHeight="1">
      <c r="A854" s="671" t="s">
        <v>243</v>
      </c>
      <c r="B854" s="671"/>
      <c r="C854" s="671"/>
      <c r="D854" s="158" t="s">
        <v>116</v>
      </c>
      <c r="E854" s="228">
        <v>18.533333333333335</v>
      </c>
      <c r="F854" s="228">
        <v>14.4</v>
      </c>
      <c r="G854" s="228">
        <v>44</v>
      </c>
      <c r="H854" s="3">
        <f>G854*4+F854*9+E854*4</f>
        <v>379.73333333333335</v>
      </c>
      <c r="I854" s="294" t="s">
        <v>242</v>
      </c>
      <c r="J854" s="10"/>
      <c r="M854" s="557"/>
      <c r="N854" s="135"/>
      <c r="O854" s="486"/>
      <c r="P854" s="481"/>
      <c r="Q854" s="488"/>
      <c r="R854" s="488"/>
      <c r="S854" s="488"/>
      <c r="T854" s="486"/>
      <c r="U854" s="488"/>
    </row>
    <row r="855" spans="1:25" ht="30" customHeight="1">
      <c r="A855" s="53" t="s">
        <v>56</v>
      </c>
      <c r="B855" s="142">
        <v>140</v>
      </c>
      <c r="C855" s="142">
        <v>137</v>
      </c>
      <c r="D855" s="220"/>
      <c r="E855" s="220"/>
      <c r="F855" s="220"/>
      <c r="G855" s="220"/>
      <c r="H855" s="230"/>
      <c r="I855" s="312"/>
      <c r="J855" s="10"/>
      <c r="M855" s="557"/>
      <c r="N855" s="135"/>
      <c r="O855" s="486"/>
      <c r="P855" s="573"/>
      <c r="Q855" s="681"/>
      <c r="R855" s="681"/>
      <c r="S855" s="681"/>
      <c r="T855" s="66"/>
      <c r="U855" s="633"/>
      <c r="V855" s="633"/>
      <c r="W855" s="633"/>
      <c r="X855" s="560"/>
      <c r="Y855" s="356"/>
    </row>
    <row r="856" spans="1:25" ht="30" customHeight="1">
      <c r="A856" s="53" t="s">
        <v>132</v>
      </c>
      <c r="B856" s="142">
        <v>7</v>
      </c>
      <c r="C856" s="142">
        <v>7</v>
      </c>
      <c r="D856" s="220"/>
      <c r="E856" s="220"/>
      <c r="F856" s="220"/>
      <c r="G856" s="220"/>
      <c r="H856" s="230"/>
      <c r="I856" s="312"/>
      <c r="J856" s="10"/>
      <c r="M856" s="347"/>
      <c r="N856" s="135"/>
      <c r="O856" s="486"/>
      <c r="P856" s="573"/>
      <c r="Q856" s="215"/>
      <c r="R856" s="78"/>
      <c r="S856" s="216"/>
      <c r="T856" s="66"/>
      <c r="U856" s="633"/>
      <c r="V856" s="633"/>
      <c r="W856" s="633"/>
      <c r="X856" s="560"/>
      <c r="Y856" s="356"/>
    </row>
    <row r="857" spans="1:25" ht="30" customHeight="1">
      <c r="A857" s="25" t="s">
        <v>91</v>
      </c>
      <c r="B857" s="142">
        <v>24</v>
      </c>
      <c r="C857" s="142">
        <v>24</v>
      </c>
      <c r="D857" s="220"/>
      <c r="E857" s="228"/>
      <c r="F857" s="228"/>
      <c r="G857" s="228"/>
      <c r="H857" s="3"/>
      <c r="I857" s="304"/>
      <c r="J857" s="10"/>
      <c r="M857" s="557"/>
      <c r="N857" s="135"/>
      <c r="O857" s="486"/>
      <c r="P857" s="573"/>
      <c r="Q857" s="215"/>
      <c r="R857" s="78"/>
      <c r="S857" s="216"/>
      <c r="T857" s="216"/>
      <c r="U857" s="214"/>
      <c r="V857" s="214"/>
      <c r="W857" s="214"/>
      <c r="X857" s="78"/>
      <c r="Y857" s="214"/>
    </row>
    <row r="858" spans="1:25" ht="30" customHeight="1">
      <c r="A858" s="53" t="s">
        <v>39</v>
      </c>
      <c r="B858" s="142">
        <v>14</v>
      </c>
      <c r="C858" s="142">
        <v>14</v>
      </c>
      <c r="D858" s="220"/>
      <c r="E858" s="220"/>
      <c r="F858" s="220"/>
      <c r="G858" s="220"/>
      <c r="H858" s="230"/>
      <c r="I858" s="312"/>
      <c r="J858" s="10"/>
      <c r="M858" s="558"/>
      <c r="N858" s="486"/>
      <c r="O858" s="372"/>
      <c r="P858" s="417"/>
      <c r="Q858" s="215"/>
      <c r="R858" s="78"/>
      <c r="S858" s="216"/>
      <c r="T858" s="216"/>
      <c r="U858" s="414"/>
      <c r="V858" s="414"/>
      <c r="W858" s="414"/>
      <c r="X858" s="415"/>
      <c r="Y858" s="414"/>
    </row>
    <row r="859" spans="1:27" ht="30" customHeight="1">
      <c r="A859" s="53" t="s">
        <v>133</v>
      </c>
      <c r="B859" s="142"/>
      <c r="C859" s="142">
        <v>33</v>
      </c>
      <c r="D859" s="220"/>
      <c r="E859" s="220"/>
      <c r="F859" s="229"/>
      <c r="G859" s="229"/>
      <c r="H859" s="230"/>
      <c r="I859" s="313"/>
      <c r="J859" s="10"/>
      <c r="M859" s="357"/>
      <c r="N859" s="559"/>
      <c r="O859" s="372"/>
      <c r="P859" s="417"/>
      <c r="Q859" s="215"/>
      <c r="R859" s="216"/>
      <c r="S859" s="216"/>
      <c r="T859" s="216"/>
      <c r="U859" s="582"/>
      <c r="V859" s="633"/>
      <c r="W859" s="633"/>
      <c r="X859" s="634"/>
      <c r="Y859" s="633"/>
      <c r="Z859" s="40"/>
      <c r="AA859" s="40"/>
    </row>
    <row r="860" spans="1:25" ht="30" customHeight="1">
      <c r="A860" s="169" t="s">
        <v>70</v>
      </c>
      <c r="B860" s="142">
        <v>14</v>
      </c>
      <c r="C860" s="142">
        <v>14</v>
      </c>
      <c r="D860" s="220"/>
      <c r="E860" s="220"/>
      <c r="F860" s="229"/>
      <c r="G860" s="229"/>
      <c r="H860" s="230"/>
      <c r="I860" s="313"/>
      <c r="J860" s="10"/>
      <c r="M860" s="558"/>
      <c r="N860" s="559"/>
      <c r="O860" s="372"/>
      <c r="P860" s="417"/>
      <c r="Q860" s="215"/>
      <c r="R860" s="216"/>
      <c r="S860" s="216"/>
      <c r="T860" s="216"/>
      <c r="U860" s="582"/>
      <c r="V860" s="129"/>
      <c r="W860" s="129"/>
      <c r="X860" s="78"/>
      <c r="Y860" s="129"/>
    </row>
    <row r="861" spans="1:25" ht="30" customHeight="1">
      <c r="A861" s="169" t="s">
        <v>54</v>
      </c>
      <c r="B861" s="142">
        <v>14</v>
      </c>
      <c r="C861" s="142">
        <v>14</v>
      </c>
      <c r="D861" s="220"/>
      <c r="E861" s="220"/>
      <c r="F861" s="229"/>
      <c r="G861" s="229"/>
      <c r="H861" s="230"/>
      <c r="I861" s="313"/>
      <c r="J861" s="10"/>
      <c r="M861" s="558"/>
      <c r="N861" s="372"/>
      <c r="O861" s="372"/>
      <c r="P861" s="417"/>
      <c r="Q861" s="139"/>
      <c r="R861" s="583"/>
      <c r="S861" s="584"/>
      <c r="T861" s="216"/>
      <c r="U861" s="129"/>
      <c r="V861" s="129"/>
      <c r="W861" s="129"/>
      <c r="X861" s="78"/>
      <c r="Y861" s="129"/>
    </row>
    <row r="862" spans="1:25" ht="30" customHeight="1">
      <c r="A862" s="169" t="s">
        <v>39</v>
      </c>
      <c r="B862" s="142">
        <v>7</v>
      </c>
      <c r="C862" s="142">
        <v>7</v>
      </c>
      <c r="D862" s="220"/>
      <c r="E862" s="220"/>
      <c r="F862" s="229"/>
      <c r="G862" s="229"/>
      <c r="H862" s="230"/>
      <c r="I862" s="313"/>
      <c r="J862" s="10"/>
      <c r="M862" s="346"/>
      <c r="N862" s="135"/>
      <c r="O862" s="135"/>
      <c r="P862" s="417"/>
      <c r="Q862" s="215"/>
      <c r="R862" s="78"/>
      <c r="S862" s="216"/>
      <c r="T862" s="216"/>
      <c r="U862" s="129"/>
      <c r="V862" s="129"/>
      <c r="W862" s="129"/>
      <c r="X862" s="78"/>
      <c r="Y862" s="403"/>
    </row>
    <row r="863" spans="1:25" ht="30" customHeight="1">
      <c r="A863" s="169" t="s">
        <v>64</v>
      </c>
      <c r="B863" s="144">
        <v>4.5</v>
      </c>
      <c r="C863" s="144">
        <v>4.5</v>
      </c>
      <c r="D863" s="220"/>
      <c r="E863" s="220"/>
      <c r="F863" s="229"/>
      <c r="G863" s="229"/>
      <c r="H863" s="230"/>
      <c r="I863" s="313"/>
      <c r="J863" s="9"/>
      <c r="M863" s="557"/>
      <c r="N863" s="559"/>
      <c r="O863" s="559"/>
      <c r="P863" s="417"/>
      <c r="Q863" s="215"/>
      <c r="R863" s="379"/>
      <c r="S863" s="78"/>
      <c r="T863" s="216"/>
      <c r="U863" s="129"/>
      <c r="V863" s="129"/>
      <c r="W863" s="129"/>
      <c r="X863" s="78"/>
      <c r="Y863" s="403"/>
    </row>
    <row r="864" spans="1:25" ht="30" customHeight="1">
      <c r="A864" s="143" t="s">
        <v>142</v>
      </c>
      <c r="B864" s="140"/>
      <c r="C864" s="140">
        <v>200</v>
      </c>
      <c r="D864" s="220"/>
      <c r="E864" s="220"/>
      <c r="F864" s="229"/>
      <c r="G864" s="229"/>
      <c r="H864" s="230"/>
      <c r="I864" s="313"/>
      <c r="J864" s="9"/>
      <c r="P864" s="87"/>
      <c r="Q864" s="215"/>
      <c r="R864" s="379"/>
      <c r="S864" s="78"/>
      <c r="T864" s="216"/>
      <c r="U864" s="129"/>
      <c r="V864" s="129"/>
      <c r="W864" s="129"/>
      <c r="X864" s="78"/>
      <c r="Y864" s="403"/>
    </row>
    <row r="865" spans="1:25" ht="30" customHeight="1">
      <c r="A865" s="59" t="s">
        <v>108</v>
      </c>
      <c r="B865" s="23">
        <v>20.2</v>
      </c>
      <c r="C865" s="142">
        <v>20</v>
      </c>
      <c r="D865" s="220"/>
      <c r="E865" s="229"/>
      <c r="F865" s="229"/>
      <c r="G865" s="229"/>
      <c r="H865" s="230"/>
      <c r="I865" s="313"/>
      <c r="J865" s="9"/>
      <c r="O865" s="83"/>
      <c r="P865" s="522"/>
      <c r="Q865" s="139"/>
      <c r="R865" s="583"/>
      <c r="S865" s="583"/>
      <c r="T865" s="216"/>
      <c r="U865" s="129"/>
      <c r="V865" s="129"/>
      <c r="W865" s="129"/>
      <c r="X865" s="78"/>
      <c r="Y865" s="129"/>
    </row>
    <row r="866" spans="1:25" ht="30" customHeight="1">
      <c r="A866" s="564" t="s">
        <v>300</v>
      </c>
      <c r="B866" s="564"/>
      <c r="C866" s="564"/>
      <c r="D866" s="632">
        <v>200</v>
      </c>
      <c r="E866" s="2">
        <v>2.3</v>
      </c>
      <c r="F866" s="21">
        <v>2.5</v>
      </c>
      <c r="G866" s="2">
        <v>14.8</v>
      </c>
      <c r="H866" s="238">
        <f>G866*4+F866*9+E866*4</f>
        <v>90.9</v>
      </c>
      <c r="I866" s="329" t="s">
        <v>301</v>
      </c>
      <c r="J866" s="9"/>
      <c r="P866" s="87"/>
      <c r="Q866" s="139"/>
      <c r="R866" s="583"/>
      <c r="S866" s="583"/>
      <c r="T866" s="216"/>
      <c r="U866" s="129"/>
      <c r="V866" s="129"/>
      <c r="W866" s="129"/>
      <c r="X866" s="78"/>
      <c r="Y866" s="129"/>
    </row>
    <row r="867" spans="1:25" ht="30" customHeight="1">
      <c r="A867" s="20" t="s">
        <v>199</v>
      </c>
      <c r="B867" s="22">
        <v>4</v>
      </c>
      <c r="C867" s="22">
        <v>4</v>
      </c>
      <c r="D867" s="632"/>
      <c r="E867" s="21"/>
      <c r="F867" s="21"/>
      <c r="G867" s="21"/>
      <c r="H867" s="238"/>
      <c r="I867" s="327"/>
      <c r="J867" s="9"/>
      <c r="P867" s="87"/>
      <c r="Q867" s="215"/>
      <c r="R867" s="583"/>
      <c r="S867" s="583"/>
      <c r="T867" s="216"/>
      <c r="U867" s="129"/>
      <c r="V867" s="129"/>
      <c r="W867" s="129"/>
      <c r="X867" s="78"/>
      <c r="Y867" s="129"/>
    </row>
    <row r="868" spans="1:25" ht="30" customHeight="1">
      <c r="A868" s="53" t="s">
        <v>39</v>
      </c>
      <c r="B868" s="23">
        <v>10</v>
      </c>
      <c r="C868" s="23">
        <v>10</v>
      </c>
      <c r="D868" s="632"/>
      <c r="E868" s="21"/>
      <c r="F868" s="21"/>
      <c r="G868" s="21"/>
      <c r="H868" s="238"/>
      <c r="I868" s="327"/>
      <c r="J868" s="9"/>
      <c r="P868" s="87"/>
      <c r="Q868" s="215"/>
      <c r="R868" s="216"/>
      <c r="S868" s="216"/>
      <c r="T868" s="216"/>
      <c r="U868" s="582"/>
      <c r="V868" s="129"/>
      <c r="W868" s="129"/>
      <c r="X868" s="78"/>
      <c r="Y868" s="129"/>
    </row>
    <row r="869" spans="1:10" ht="30" customHeight="1">
      <c r="A869" s="53" t="s">
        <v>302</v>
      </c>
      <c r="B869" s="23">
        <v>100</v>
      </c>
      <c r="C869" s="23">
        <v>100</v>
      </c>
      <c r="D869" s="632"/>
      <c r="E869" s="32"/>
      <c r="F869" s="32"/>
      <c r="G869" s="32"/>
      <c r="H869" s="45"/>
      <c r="I869" s="330"/>
      <c r="J869" s="9"/>
    </row>
    <row r="870" spans="1:27" ht="30" customHeight="1">
      <c r="A870" s="683" t="s">
        <v>239</v>
      </c>
      <c r="B870" s="683"/>
      <c r="C870" s="683"/>
      <c r="D870" s="4">
        <v>130</v>
      </c>
      <c r="E870" s="222">
        <v>0.6</v>
      </c>
      <c r="F870" s="222">
        <v>0.5</v>
      </c>
      <c r="G870" s="222">
        <v>19.9</v>
      </c>
      <c r="H870" s="3">
        <f>G870*4+F870*9+E870*4</f>
        <v>86.5</v>
      </c>
      <c r="I870" s="294" t="s">
        <v>224</v>
      </c>
      <c r="J870" s="9"/>
      <c r="V870" s="40"/>
      <c r="W870" s="40"/>
      <c r="X870" s="40"/>
      <c r="Y870" s="40"/>
      <c r="Z870" s="40"/>
      <c r="AA870" s="40"/>
    </row>
    <row r="871" spans="1:10" ht="30" customHeight="1">
      <c r="A871" s="690" t="s">
        <v>205</v>
      </c>
      <c r="B871" s="690"/>
      <c r="C871" s="690"/>
      <c r="D871" s="243">
        <f>D872+260+D889+D900+D920</f>
        <v>860</v>
      </c>
      <c r="E871" s="71">
        <f>E872+E876+E889+E900+E920+E926+E928</f>
        <v>29.850000000000005</v>
      </c>
      <c r="F871" s="71">
        <f>F872+F876+F889+F900+F920+F926+F928</f>
        <v>33.06</v>
      </c>
      <c r="G871" s="71">
        <f>G872+G876+G889+G900+G920+G926+G928</f>
        <v>103.64999999999999</v>
      </c>
      <c r="H871" s="265">
        <f>H872+H876+H889+H900+H920+H926+H928</f>
        <v>831.5400000000001</v>
      </c>
      <c r="I871" s="293"/>
      <c r="J871" s="9"/>
    </row>
    <row r="872" spans="1:10" ht="30" customHeight="1">
      <c r="A872" s="684" t="s">
        <v>252</v>
      </c>
      <c r="B872" s="684"/>
      <c r="C872" s="684"/>
      <c r="D872" s="1">
        <v>100</v>
      </c>
      <c r="E872" s="2">
        <v>1</v>
      </c>
      <c r="F872" s="2">
        <v>5.1</v>
      </c>
      <c r="G872" s="2">
        <v>3.5</v>
      </c>
      <c r="H872" s="3">
        <f>E872*4+F872*9+G872*4</f>
        <v>63.9</v>
      </c>
      <c r="I872" s="294" t="s">
        <v>253</v>
      </c>
      <c r="J872" s="9"/>
    </row>
    <row r="873" spans="1:10" ht="30" customHeight="1">
      <c r="A873" s="25" t="s">
        <v>75</v>
      </c>
      <c r="B873" s="49">
        <f>C873*1.02</f>
        <v>96.9</v>
      </c>
      <c r="C873" s="149">
        <v>95</v>
      </c>
      <c r="D873" s="164"/>
      <c r="E873" s="2"/>
      <c r="F873" s="2"/>
      <c r="G873" s="2"/>
      <c r="H873" s="3"/>
      <c r="I873" s="294"/>
      <c r="J873" s="9"/>
    </row>
    <row r="874" spans="1:10" ht="30" customHeight="1">
      <c r="A874" s="102" t="s">
        <v>89</v>
      </c>
      <c r="B874" s="157">
        <f>C874*1.18</f>
        <v>112.1</v>
      </c>
      <c r="C874" s="149">
        <v>95</v>
      </c>
      <c r="D874" s="164"/>
      <c r="E874" s="2"/>
      <c r="F874" s="2"/>
      <c r="G874" s="2"/>
      <c r="H874" s="3"/>
      <c r="I874" s="294"/>
      <c r="J874" s="9"/>
    </row>
    <row r="875" spans="1:18" ht="30" customHeight="1">
      <c r="A875" s="165" t="s">
        <v>118</v>
      </c>
      <c r="B875" s="166">
        <v>5</v>
      </c>
      <c r="C875" s="166">
        <v>5</v>
      </c>
      <c r="D875" s="164"/>
      <c r="E875" s="2"/>
      <c r="F875" s="2"/>
      <c r="G875" s="2"/>
      <c r="H875" s="3"/>
      <c r="I875" s="304"/>
      <c r="J875" s="9"/>
      <c r="K875" s="40"/>
      <c r="L875" s="40"/>
      <c r="P875" s="95"/>
      <c r="Q875" s="95"/>
      <c r="R875" s="95"/>
    </row>
    <row r="876" spans="1:18" ht="30" customHeight="1">
      <c r="A876" s="691" t="s">
        <v>463</v>
      </c>
      <c r="B876" s="691"/>
      <c r="C876" s="691"/>
      <c r="D876" s="244" t="s">
        <v>215</v>
      </c>
      <c r="E876" s="21">
        <v>5.8</v>
      </c>
      <c r="F876" s="21">
        <v>4.8</v>
      </c>
      <c r="G876" s="21">
        <v>8.3</v>
      </c>
      <c r="H876" s="238">
        <f>G876*4+F876*9+E876*4</f>
        <v>99.60000000000001</v>
      </c>
      <c r="I876" s="294" t="s">
        <v>462</v>
      </c>
      <c r="J876" s="9"/>
      <c r="P876" s="95"/>
      <c r="Q876" s="95"/>
      <c r="R876" s="95"/>
    </row>
    <row r="877" spans="1:18" ht="30" customHeight="1">
      <c r="A877" s="132" t="s">
        <v>45</v>
      </c>
      <c r="B877" s="37">
        <f>C877*1.36</f>
        <v>21.76</v>
      </c>
      <c r="C877" s="149">
        <v>16</v>
      </c>
      <c r="D877" s="58"/>
      <c r="E877" s="242"/>
      <c r="F877" s="242"/>
      <c r="G877" s="242"/>
      <c r="H877" s="537"/>
      <c r="I877" s="510"/>
      <c r="J877" s="9"/>
      <c r="P877" s="95"/>
      <c r="Q877" s="95"/>
      <c r="R877" s="95"/>
    </row>
    <row r="878" spans="1:10" ht="30" customHeight="1">
      <c r="A878" s="132" t="s">
        <v>46</v>
      </c>
      <c r="B878" s="37">
        <f>C878*1.18</f>
        <v>18.88</v>
      </c>
      <c r="C878" s="149">
        <v>16</v>
      </c>
      <c r="D878" s="58"/>
      <c r="E878" s="21"/>
      <c r="F878" s="21"/>
      <c r="G878" s="21"/>
      <c r="H878" s="238"/>
      <c r="I878" s="432"/>
      <c r="J878" s="9"/>
    </row>
    <row r="879" spans="1:10" ht="30" customHeight="1">
      <c r="A879" s="25" t="s">
        <v>47</v>
      </c>
      <c r="B879" s="107">
        <f>C879*1.33</f>
        <v>59.85</v>
      </c>
      <c r="C879" s="49">
        <v>45</v>
      </c>
      <c r="D879" s="234"/>
      <c r="E879" s="32"/>
      <c r="F879" s="32"/>
      <c r="G879" s="32"/>
      <c r="H879" s="45"/>
      <c r="I879" s="21"/>
      <c r="J879" s="9"/>
    </row>
    <row r="880" spans="1:10" ht="30" customHeight="1">
      <c r="A880" s="25" t="s">
        <v>48</v>
      </c>
      <c r="B880" s="107">
        <f>C880*1.43</f>
        <v>64.35</v>
      </c>
      <c r="C880" s="49">
        <v>45</v>
      </c>
      <c r="D880" s="234"/>
      <c r="E880" s="32"/>
      <c r="F880" s="32"/>
      <c r="G880" s="32"/>
      <c r="H880" s="45"/>
      <c r="I880" s="21"/>
      <c r="J880" s="9"/>
    </row>
    <row r="881" spans="1:10" ht="30" customHeight="1">
      <c r="A881" s="25" t="s">
        <v>49</v>
      </c>
      <c r="B881" s="107">
        <f>C881*1.54</f>
        <v>69.3</v>
      </c>
      <c r="C881" s="49">
        <v>45</v>
      </c>
      <c r="D881" s="234"/>
      <c r="E881" s="32"/>
      <c r="F881" s="32"/>
      <c r="G881" s="32"/>
      <c r="H881" s="45"/>
      <c r="I881" s="21"/>
      <c r="J881" s="9"/>
    </row>
    <row r="882" spans="1:10" ht="30" customHeight="1">
      <c r="A882" s="25" t="s">
        <v>50</v>
      </c>
      <c r="B882" s="107">
        <f>C882*1.67</f>
        <v>75.14999999999999</v>
      </c>
      <c r="C882" s="49">
        <v>45</v>
      </c>
      <c r="D882" s="234"/>
      <c r="E882" s="32"/>
      <c r="F882" s="32"/>
      <c r="G882" s="32"/>
      <c r="H882" s="45"/>
      <c r="I882" s="21"/>
      <c r="J882" s="9"/>
    </row>
    <row r="883" spans="1:10" ht="30" customHeight="1">
      <c r="A883" s="115" t="s">
        <v>112</v>
      </c>
      <c r="B883" s="26">
        <f>C883*1.25</f>
        <v>15</v>
      </c>
      <c r="C883" s="157">
        <v>12</v>
      </c>
      <c r="D883" s="234"/>
      <c r="E883" s="32"/>
      <c r="F883" s="32"/>
      <c r="G883" s="32"/>
      <c r="H883" s="45"/>
      <c r="I883" s="21"/>
      <c r="J883" s="9"/>
    </row>
    <row r="884" spans="1:10" ht="30" customHeight="1">
      <c r="A884" s="115" t="s">
        <v>43</v>
      </c>
      <c r="B884" s="43">
        <f>C884*1.33</f>
        <v>15.96</v>
      </c>
      <c r="C884" s="157">
        <v>12</v>
      </c>
      <c r="D884" s="234"/>
      <c r="E884" s="32"/>
      <c r="F884" s="32"/>
      <c r="G884" s="32"/>
      <c r="H884" s="45"/>
      <c r="I884" s="21"/>
      <c r="J884" s="9"/>
    </row>
    <row r="885" spans="1:10" ht="30" customHeight="1">
      <c r="A885" s="20" t="s">
        <v>51</v>
      </c>
      <c r="B885" s="43">
        <f>C885*1.19</f>
        <v>14.28</v>
      </c>
      <c r="C885" s="157">
        <v>12</v>
      </c>
      <c r="D885" s="234"/>
      <c r="E885" s="32"/>
      <c r="F885" s="32"/>
      <c r="G885" s="32"/>
      <c r="H885" s="45"/>
      <c r="I885" s="21"/>
      <c r="J885" s="9"/>
    </row>
    <row r="886" spans="1:10" ht="30" customHeight="1">
      <c r="A886" s="25" t="s">
        <v>406</v>
      </c>
      <c r="B886" s="107">
        <v>4</v>
      </c>
      <c r="C886" s="49">
        <v>4</v>
      </c>
      <c r="D886" s="234"/>
      <c r="E886" s="32"/>
      <c r="F886" s="32"/>
      <c r="G886" s="32"/>
      <c r="H886" s="45"/>
      <c r="I886" s="21"/>
      <c r="J886" s="9"/>
    </row>
    <row r="887" spans="1:10" ht="30" customHeight="1">
      <c r="A887" s="25" t="s">
        <v>91</v>
      </c>
      <c r="B887" s="157">
        <v>20</v>
      </c>
      <c r="C887" s="157">
        <v>20</v>
      </c>
      <c r="D887" s="234"/>
      <c r="E887" s="402"/>
      <c r="F887" s="402"/>
      <c r="G887" s="402"/>
      <c r="H887" s="316"/>
      <c r="I887" s="448"/>
      <c r="J887" s="9"/>
    </row>
    <row r="888" spans="1:10" ht="30" customHeight="1">
      <c r="A888" s="89" t="s">
        <v>70</v>
      </c>
      <c r="B888" s="64">
        <v>5</v>
      </c>
      <c r="C888" s="61">
        <v>5</v>
      </c>
      <c r="D888" s="234"/>
      <c r="E888" s="38"/>
      <c r="F888" s="38"/>
      <c r="G888" s="38"/>
      <c r="H888" s="57"/>
      <c r="I888" s="309"/>
      <c r="J888" s="9"/>
    </row>
    <row r="889" spans="1:10" ht="30" customHeight="1">
      <c r="A889" s="671" t="s">
        <v>546</v>
      </c>
      <c r="B889" s="671"/>
      <c r="C889" s="671"/>
      <c r="D889" s="1">
        <v>100</v>
      </c>
      <c r="E889" s="2">
        <v>14.8</v>
      </c>
      <c r="F889" s="2">
        <v>13.7</v>
      </c>
      <c r="G889" s="2">
        <v>12</v>
      </c>
      <c r="H889" s="3">
        <f>E889*4+F889*9+G889*4</f>
        <v>230.5</v>
      </c>
      <c r="I889" s="294" t="s">
        <v>547</v>
      </c>
      <c r="J889" s="9"/>
    </row>
    <row r="890" spans="1:27" ht="30" customHeight="1">
      <c r="A890" s="132" t="s">
        <v>328</v>
      </c>
      <c r="B890" s="37">
        <f>C890*1.17</f>
        <v>43.29</v>
      </c>
      <c r="C890" s="57">
        <v>37</v>
      </c>
      <c r="D890" s="1"/>
      <c r="E890" s="2"/>
      <c r="F890" s="2"/>
      <c r="G890" s="2"/>
      <c r="H890" s="3"/>
      <c r="I890" s="294"/>
      <c r="J890" s="9"/>
      <c r="S890" s="83"/>
      <c r="T890" s="83"/>
      <c r="U890" s="83"/>
      <c r="V890" s="40"/>
      <c r="W890" s="40"/>
      <c r="X890" s="40"/>
      <c r="Y890" s="40"/>
      <c r="Z890" s="40"/>
      <c r="AA890" s="40"/>
    </row>
    <row r="891" spans="1:10" ht="30" customHeight="1">
      <c r="A891" s="132" t="s">
        <v>45</v>
      </c>
      <c r="B891" s="37">
        <f>C891*1.36</f>
        <v>50.32</v>
      </c>
      <c r="C891" s="57">
        <v>37</v>
      </c>
      <c r="D891" s="22"/>
      <c r="E891" s="43"/>
      <c r="F891" s="43"/>
      <c r="G891" s="43"/>
      <c r="H891" s="26"/>
      <c r="I891" s="43"/>
      <c r="J891" s="9"/>
    </row>
    <row r="892" spans="1:10" ht="30" customHeight="1">
      <c r="A892" s="132" t="s">
        <v>46</v>
      </c>
      <c r="B892" s="37">
        <f>C892*1.18</f>
        <v>43.66</v>
      </c>
      <c r="C892" s="57">
        <v>37</v>
      </c>
      <c r="D892" s="22"/>
      <c r="E892" s="43"/>
      <c r="F892" s="43"/>
      <c r="G892" s="43"/>
      <c r="H892" s="26"/>
      <c r="I892" s="295"/>
      <c r="J892" s="9"/>
    </row>
    <row r="893" spans="1:10" ht="30" customHeight="1">
      <c r="A893" s="147" t="s">
        <v>42</v>
      </c>
      <c r="B893" s="23">
        <v>18</v>
      </c>
      <c r="C893" s="23">
        <v>18</v>
      </c>
      <c r="D893" s="22"/>
      <c r="E893" s="43"/>
      <c r="F893" s="43"/>
      <c r="G893" s="43"/>
      <c r="H893" s="26"/>
      <c r="I893" s="295"/>
      <c r="J893" s="9"/>
    </row>
    <row r="894" spans="1:10" ht="30" customHeight="1">
      <c r="A894" s="53" t="s">
        <v>326</v>
      </c>
      <c r="B894" s="23">
        <v>12</v>
      </c>
      <c r="C894" s="23">
        <v>12</v>
      </c>
      <c r="D894" s="22"/>
      <c r="E894" s="43"/>
      <c r="F894" s="43"/>
      <c r="G894" s="43"/>
      <c r="H894" s="26"/>
      <c r="I894" s="295"/>
      <c r="J894" s="9"/>
    </row>
    <row r="895" spans="1:10" ht="30" customHeight="1">
      <c r="A895" s="101" t="s">
        <v>51</v>
      </c>
      <c r="B895" s="437">
        <f>C895*1.19</f>
        <v>9.52</v>
      </c>
      <c r="C895" s="146">
        <v>8</v>
      </c>
      <c r="D895" s="22"/>
      <c r="E895" s="43"/>
      <c r="F895" s="43"/>
      <c r="G895" s="43"/>
      <c r="H895" s="26"/>
      <c r="I895" s="295"/>
      <c r="J895" s="9"/>
    </row>
    <row r="896" spans="1:10" ht="30" customHeight="1">
      <c r="A896" s="25" t="s">
        <v>91</v>
      </c>
      <c r="B896" s="57">
        <v>4</v>
      </c>
      <c r="C896" s="57">
        <v>4</v>
      </c>
      <c r="D896" s="22"/>
      <c r="E896" s="50"/>
      <c r="F896" s="43"/>
      <c r="G896" s="43"/>
      <c r="H896" s="26"/>
      <c r="I896" s="295"/>
      <c r="J896" s="11"/>
    </row>
    <row r="897" spans="1:10" ht="30" customHeight="1">
      <c r="A897" s="59" t="s">
        <v>525</v>
      </c>
      <c r="B897" s="32">
        <f>C897*1.28</f>
        <v>1.28</v>
      </c>
      <c r="C897" s="23">
        <v>1</v>
      </c>
      <c r="D897" s="1"/>
      <c r="E897" s="2"/>
      <c r="F897" s="50"/>
      <c r="G897" s="50"/>
      <c r="H897" s="46"/>
      <c r="I897" s="514"/>
      <c r="J897" s="11"/>
    </row>
    <row r="898" spans="1:27" s="40" customFormat="1" ht="30" customHeight="1">
      <c r="A898" s="102" t="s">
        <v>327</v>
      </c>
      <c r="B898" s="400">
        <v>10</v>
      </c>
      <c r="C898" s="400">
        <v>10</v>
      </c>
      <c r="D898" s="282"/>
      <c r="E898" s="43"/>
      <c r="F898" s="43"/>
      <c r="G898" s="43"/>
      <c r="H898" s="26"/>
      <c r="I898" s="43"/>
      <c r="J898" s="91"/>
      <c r="M898" s="80"/>
      <c r="P898" s="80"/>
      <c r="Q898" s="80"/>
      <c r="R898" s="80"/>
      <c r="S898" s="80"/>
      <c r="T898" s="80"/>
      <c r="U898" s="80"/>
      <c r="V898" s="80"/>
      <c r="W898" s="80"/>
      <c r="X898" s="80"/>
      <c r="Y898" s="80"/>
      <c r="Z898" s="80"/>
      <c r="AA898" s="80"/>
    </row>
    <row r="899" spans="1:10" ht="30" customHeight="1">
      <c r="A899" s="101" t="s">
        <v>44</v>
      </c>
      <c r="B899" s="64">
        <v>2</v>
      </c>
      <c r="C899" s="146">
        <v>2</v>
      </c>
      <c r="D899" s="22"/>
      <c r="E899" s="43"/>
      <c r="F899" s="43"/>
      <c r="G899" s="43"/>
      <c r="H899" s="26"/>
      <c r="I899" s="295"/>
      <c r="J899" s="91"/>
    </row>
    <row r="900" spans="1:13" ht="30" customHeight="1">
      <c r="A900" s="705" t="s">
        <v>356</v>
      </c>
      <c r="B900" s="705"/>
      <c r="C900" s="705"/>
      <c r="D900" s="418">
        <v>200</v>
      </c>
      <c r="E900" s="240">
        <v>3.6</v>
      </c>
      <c r="F900" s="240">
        <v>8.2</v>
      </c>
      <c r="G900" s="240">
        <v>20.3</v>
      </c>
      <c r="H900" s="396">
        <f>E900*4+F900*9+G900*4</f>
        <v>169.4</v>
      </c>
      <c r="I900" s="300" t="s">
        <v>357</v>
      </c>
      <c r="J900" s="8"/>
      <c r="M900" s="40"/>
    </row>
    <row r="901" spans="1:10" ht="30" customHeight="1">
      <c r="A901" s="389" t="s">
        <v>47</v>
      </c>
      <c r="B901" s="64">
        <f>C901*1.33</f>
        <v>86.45</v>
      </c>
      <c r="C901" s="133">
        <v>65</v>
      </c>
      <c r="D901" s="219"/>
      <c r="E901" s="226"/>
      <c r="F901" s="226"/>
      <c r="G901" s="226"/>
      <c r="H901" s="133"/>
      <c r="I901" s="226"/>
      <c r="J901" s="8"/>
    </row>
    <row r="902" spans="1:10" ht="30" customHeight="1">
      <c r="A902" s="389" t="s">
        <v>48</v>
      </c>
      <c r="B902" s="64">
        <f>C902*1.43</f>
        <v>92.95</v>
      </c>
      <c r="C902" s="133">
        <v>65</v>
      </c>
      <c r="D902" s="219"/>
      <c r="E902" s="226"/>
      <c r="F902" s="226"/>
      <c r="G902" s="226"/>
      <c r="H902" s="133"/>
      <c r="I902" s="226"/>
      <c r="J902" s="9"/>
    </row>
    <row r="903" spans="1:10" ht="30" customHeight="1">
      <c r="A903" s="389" t="s">
        <v>49</v>
      </c>
      <c r="B903" s="64">
        <f>C903*1.54</f>
        <v>100.10000000000001</v>
      </c>
      <c r="C903" s="133">
        <v>65</v>
      </c>
      <c r="D903" s="219"/>
      <c r="E903" s="226"/>
      <c r="F903" s="226"/>
      <c r="G903" s="226"/>
      <c r="H903" s="133"/>
      <c r="I903" s="226"/>
      <c r="J903" s="9"/>
    </row>
    <row r="904" spans="1:10" ht="30" customHeight="1">
      <c r="A904" s="389" t="s">
        <v>50</v>
      </c>
      <c r="B904" s="64">
        <f>C904*1.67</f>
        <v>108.55</v>
      </c>
      <c r="C904" s="133">
        <v>65</v>
      </c>
      <c r="D904" s="219"/>
      <c r="E904" s="226"/>
      <c r="F904" s="226"/>
      <c r="G904" s="226"/>
      <c r="H904" s="133"/>
      <c r="I904" s="226"/>
      <c r="J904" s="9"/>
    </row>
    <row r="905" spans="1:10" ht="30" customHeight="1">
      <c r="A905" s="438" t="s">
        <v>112</v>
      </c>
      <c r="B905" s="133">
        <f>C905*1.25</f>
        <v>41.25</v>
      </c>
      <c r="C905" s="219">
        <v>33</v>
      </c>
      <c r="D905" s="219"/>
      <c r="E905" s="437"/>
      <c r="F905" s="437"/>
      <c r="G905" s="437"/>
      <c r="H905" s="64"/>
      <c r="I905" s="437"/>
      <c r="J905" s="9"/>
    </row>
    <row r="906" spans="1:10" ht="30" customHeight="1">
      <c r="A906" s="438" t="s">
        <v>43</v>
      </c>
      <c r="B906" s="64">
        <f>C906*1.33</f>
        <v>43.89</v>
      </c>
      <c r="C906" s="219">
        <v>33</v>
      </c>
      <c r="D906" s="219"/>
      <c r="E906" s="437"/>
      <c r="F906" s="437"/>
      <c r="G906" s="437"/>
      <c r="H906" s="64"/>
      <c r="I906" s="437"/>
      <c r="J906" s="9"/>
    </row>
    <row r="907" spans="1:10" ht="30" customHeight="1">
      <c r="A907" s="147" t="s">
        <v>51</v>
      </c>
      <c r="B907" s="64">
        <f>C907*1.19</f>
        <v>20.23</v>
      </c>
      <c r="C907" s="61">
        <v>17</v>
      </c>
      <c r="D907" s="219"/>
      <c r="E907" s="437"/>
      <c r="F907" s="437"/>
      <c r="G907" s="437"/>
      <c r="H907" s="64"/>
      <c r="I907" s="437"/>
      <c r="J907" s="9"/>
    </row>
    <row r="908" spans="1:10" ht="30" customHeight="1">
      <c r="A908" s="59" t="s">
        <v>55</v>
      </c>
      <c r="B908" s="64">
        <f>C908*1.25</f>
        <v>93.75</v>
      </c>
      <c r="C908" s="64">
        <v>75</v>
      </c>
      <c r="D908" s="219"/>
      <c r="E908" s="437"/>
      <c r="F908" s="437"/>
      <c r="G908" s="437"/>
      <c r="H908" s="64"/>
      <c r="I908" s="437"/>
      <c r="J908" s="9"/>
    </row>
    <row r="909" spans="1:27" s="83" customFormat="1" ht="30" customHeight="1">
      <c r="A909" s="100" t="s">
        <v>548</v>
      </c>
      <c r="B909" s="45">
        <f>C909*1.49</f>
        <v>111.75</v>
      </c>
      <c r="C909" s="45">
        <v>75</v>
      </c>
      <c r="D909" s="219"/>
      <c r="E909" s="437"/>
      <c r="F909" s="437"/>
      <c r="G909" s="437"/>
      <c r="H909" s="64"/>
      <c r="I909" s="437"/>
      <c r="J909" s="9"/>
      <c r="M909" s="80"/>
      <c r="N909" s="80"/>
      <c r="O909" s="80"/>
      <c r="P909" s="80"/>
      <c r="Q909" s="80"/>
      <c r="R909" s="80"/>
      <c r="S909" s="80"/>
      <c r="T909" s="80"/>
      <c r="U909" s="80"/>
      <c r="V909" s="80"/>
      <c r="W909" s="80"/>
      <c r="X909" s="80"/>
      <c r="Y909" s="80"/>
      <c r="Z909" s="80"/>
      <c r="AA909" s="80"/>
    </row>
    <row r="910" spans="1:10" ht="30" customHeight="1">
      <c r="A910" s="147" t="s">
        <v>44</v>
      </c>
      <c r="B910" s="64">
        <v>8</v>
      </c>
      <c r="C910" s="64">
        <v>8</v>
      </c>
      <c r="D910" s="219"/>
      <c r="E910" s="437"/>
      <c r="F910" s="437"/>
      <c r="G910" s="437"/>
      <c r="H910" s="64"/>
      <c r="I910" s="437"/>
      <c r="J910" s="9"/>
    </row>
    <row r="911" spans="1:27" ht="30" customHeight="1">
      <c r="A911" s="147" t="s">
        <v>358</v>
      </c>
      <c r="B911" s="64"/>
      <c r="C911" s="64">
        <v>60</v>
      </c>
      <c r="D911" s="219"/>
      <c r="E911" s="437"/>
      <c r="F911" s="437"/>
      <c r="G911" s="437"/>
      <c r="H911" s="64"/>
      <c r="I911" s="297" t="s">
        <v>359</v>
      </c>
      <c r="J911" s="10"/>
      <c r="M911" s="83"/>
      <c r="V911" s="40"/>
      <c r="W911" s="40"/>
      <c r="X911" s="40"/>
      <c r="Y911" s="40"/>
      <c r="Z911" s="40"/>
      <c r="AA911" s="40"/>
    </row>
    <row r="912" spans="1:10" ht="30" customHeight="1">
      <c r="A912" s="147" t="s">
        <v>60</v>
      </c>
      <c r="B912" s="64">
        <v>55</v>
      </c>
      <c r="C912" s="64">
        <v>55</v>
      </c>
      <c r="D912" s="219"/>
      <c r="E912" s="437"/>
      <c r="F912" s="437"/>
      <c r="G912" s="437"/>
      <c r="H912" s="64"/>
      <c r="I912" s="437"/>
      <c r="J912" s="10"/>
    </row>
    <row r="913" spans="1:10" ht="30" customHeight="1">
      <c r="A913" s="147" t="s">
        <v>70</v>
      </c>
      <c r="B913" s="64">
        <v>4</v>
      </c>
      <c r="C913" s="64">
        <v>4</v>
      </c>
      <c r="D913" s="226"/>
      <c r="E913" s="437"/>
      <c r="F913" s="437"/>
      <c r="G913" s="437"/>
      <c r="H913" s="64"/>
      <c r="I913" s="437"/>
      <c r="J913" s="10"/>
    </row>
    <row r="914" spans="1:10" ht="30" customHeight="1">
      <c r="A914" s="147" t="s">
        <v>54</v>
      </c>
      <c r="B914" s="437">
        <v>2.7</v>
      </c>
      <c r="C914" s="437">
        <v>2.7</v>
      </c>
      <c r="D914" s="219"/>
      <c r="E914" s="437"/>
      <c r="F914" s="437"/>
      <c r="G914" s="437"/>
      <c r="H914" s="64"/>
      <c r="I914" s="437"/>
      <c r="J914" s="10"/>
    </row>
    <row r="915" spans="1:10" ht="30" customHeight="1">
      <c r="A915" s="438" t="s">
        <v>112</v>
      </c>
      <c r="B915" s="133">
        <f>C915*1.25</f>
        <v>6.25</v>
      </c>
      <c r="C915" s="219">
        <v>5</v>
      </c>
      <c r="D915" s="219"/>
      <c r="E915" s="437"/>
      <c r="F915" s="437"/>
      <c r="G915" s="437"/>
      <c r="H915" s="64"/>
      <c r="I915" s="437"/>
      <c r="J915" s="10"/>
    </row>
    <row r="916" spans="1:10" ht="30" customHeight="1">
      <c r="A916" s="438" t="s">
        <v>43</v>
      </c>
      <c r="B916" s="437">
        <f>C916*1.33</f>
        <v>6.65</v>
      </c>
      <c r="C916" s="219">
        <v>5</v>
      </c>
      <c r="D916" s="219"/>
      <c r="E916" s="437"/>
      <c r="F916" s="437"/>
      <c r="G916" s="437"/>
      <c r="H916" s="64"/>
      <c r="I916" s="437"/>
      <c r="J916" s="10"/>
    </row>
    <row r="917" spans="1:10" ht="30" customHeight="1">
      <c r="A917" s="147" t="s">
        <v>51</v>
      </c>
      <c r="B917" s="437">
        <f>C917*1.19</f>
        <v>1.666</v>
      </c>
      <c r="C917" s="61">
        <v>1.4</v>
      </c>
      <c r="D917" s="219"/>
      <c r="E917" s="437"/>
      <c r="F917" s="437"/>
      <c r="G917" s="437"/>
      <c r="H917" s="64"/>
      <c r="I917" s="437"/>
      <c r="J917" s="10"/>
    </row>
    <row r="918" spans="1:10" ht="30" customHeight="1">
      <c r="A918" s="89" t="s">
        <v>83</v>
      </c>
      <c r="B918" s="61">
        <v>14</v>
      </c>
      <c r="C918" s="61">
        <v>14</v>
      </c>
      <c r="D918" s="219"/>
      <c r="E918" s="437"/>
      <c r="F918" s="437"/>
      <c r="G918" s="437"/>
      <c r="H918" s="64"/>
      <c r="I918" s="437"/>
      <c r="J918" s="10"/>
    </row>
    <row r="919" spans="1:10" ht="30" customHeight="1">
      <c r="A919" s="147" t="s">
        <v>39</v>
      </c>
      <c r="B919" s="61">
        <v>0.6</v>
      </c>
      <c r="C919" s="61">
        <v>0.6</v>
      </c>
      <c r="D919" s="219"/>
      <c r="E919" s="437"/>
      <c r="F919" s="240"/>
      <c r="G919" s="240"/>
      <c r="H919" s="396"/>
      <c r="I919" s="616"/>
      <c r="J919" s="10"/>
    </row>
    <row r="920" spans="1:10" ht="30" customHeight="1">
      <c r="A920" s="716" t="s">
        <v>297</v>
      </c>
      <c r="B920" s="716"/>
      <c r="C920" s="716"/>
      <c r="D920" s="4">
        <v>200</v>
      </c>
      <c r="E920" s="222">
        <v>0.3</v>
      </c>
      <c r="F920" s="222">
        <v>0.2</v>
      </c>
      <c r="G920" s="222">
        <v>21.5</v>
      </c>
      <c r="H920" s="3">
        <f>E920*4+F920*9+G920*4</f>
        <v>89</v>
      </c>
      <c r="I920" s="297" t="s">
        <v>298</v>
      </c>
      <c r="J920" s="10"/>
    </row>
    <row r="921" spans="1:27" ht="30" customHeight="1">
      <c r="A921" s="59" t="s">
        <v>207</v>
      </c>
      <c r="B921" s="156">
        <f>C921*1.05</f>
        <v>25.200000000000003</v>
      </c>
      <c r="C921" s="156">
        <v>24</v>
      </c>
      <c r="D921" s="158"/>
      <c r="E921" s="228"/>
      <c r="F921" s="228"/>
      <c r="G921" s="228"/>
      <c r="H921" s="3"/>
      <c r="I921" s="301"/>
      <c r="J921" s="10"/>
      <c r="V921" s="40"/>
      <c r="W921" s="40"/>
      <c r="X921" s="40"/>
      <c r="Y921" s="40"/>
      <c r="Z921" s="40"/>
      <c r="AA921" s="40"/>
    </row>
    <row r="922" spans="1:10" ht="30" customHeight="1">
      <c r="A922" s="59" t="s">
        <v>143</v>
      </c>
      <c r="B922" s="156">
        <f>C922*1.05</f>
        <v>25.200000000000003</v>
      </c>
      <c r="C922" s="156">
        <v>24</v>
      </c>
      <c r="D922" s="158"/>
      <c r="E922" s="228"/>
      <c r="F922" s="228"/>
      <c r="G922" s="228"/>
      <c r="H922" s="3"/>
      <c r="I922" s="301"/>
      <c r="J922" s="10"/>
    </row>
    <row r="923" spans="1:27" s="40" customFormat="1" ht="30" customHeight="1">
      <c r="A923" s="165" t="s">
        <v>208</v>
      </c>
      <c r="B923" s="156">
        <f>C923*1.05</f>
        <v>25.200000000000003</v>
      </c>
      <c r="C923" s="156">
        <v>24</v>
      </c>
      <c r="D923" s="194"/>
      <c r="E923" s="232"/>
      <c r="F923" s="232"/>
      <c r="G923" s="232"/>
      <c r="H923" s="533"/>
      <c r="I923" s="301"/>
      <c r="J923" s="10"/>
      <c r="M923" s="80"/>
      <c r="N923" s="80"/>
      <c r="O923" s="80"/>
      <c r="P923" s="80"/>
      <c r="Q923" s="80"/>
      <c r="R923" s="80"/>
      <c r="S923" s="80"/>
      <c r="T923" s="80"/>
      <c r="U923" s="80"/>
      <c r="V923" s="80"/>
      <c r="W923" s="80"/>
      <c r="X923" s="80"/>
      <c r="Y923" s="80"/>
      <c r="Z923" s="80"/>
      <c r="AA923" s="80"/>
    </row>
    <row r="924" spans="1:10" ht="30" customHeight="1">
      <c r="A924" s="25" t="s">
        <v>39</v>
      </c>
      <c r="B924" s="166">
        <v>15</v>
      </c>
      <c r="C924" s="166">
        <v>15</v>
      </c>
      <c r="D924" s="194"/>
      <c r="E924" s="232"/>
      <c r="F924" s="232"/>
      <c r="G924" s="232"/>
      <c r="H924" s="533"/>
      <c r="I924" s="301"/>
      <c r="J924" s="10"/>
    </row>
    <row r="925" spans="1:27" ht="30" customHeight="1">
      <c r="A925" s="25" t="s">
        <v>299</v>
      </c>
      <c r="B925" s="46">
        <v>7</v>
      </c>
      <c r="C925" s="46">
        <v>7</v>
      </c>
      <c r="D925" s="1"/>
      <c r="E925" s="2"/>
      <c r="F925" s="2"/>
      <c r="G925" s="2"/>
      <c r="H925" s="3"/>
      <c r="I925" s="333"/>
      <c r="J925" s="10"/>
      <c r="V925" s="40"/>
      <c r="W925" s="40"/>
      <c r="X925" s="40"/>
      <c r="Y925" s="40"/>
      <c r="Z925" s="40"/>
      <c r="AA925" s="40"/>
    </row>
    <row r="926" spans="1:13" ht="30" customHeight="1">
      <c r="A926" s="674" t="s">
        <v>34</v>
      </c>
      <c r="B926" s="674"/>
      <c r="C926" s="674"/>
      <c r="D926" s="1">
        <v>50</v>
      </c>
      <c r="E926" s="2">
        <v>2.35</v>
      </c>
      <c r="F926" s="2">
        <v>0.5</v>
      </c>
      <c r="G926" s="2">
        <v>21.85</v>
      </c>
      <c r="H926" s="3">
        <v>101.30000000000001</v>
      </c>
      <c r="I926" s="294"/>
      <c r="J926" s="10"/>
      <c r="M926" s="40"/>
    </row>
    <row r="927" spans="1:10" ht="30" customHeight="1">
      <c r="A927" s="675" t="s">
        <v>145</v>
      </c>
      <c r="B927" s="675"/>
      <c r="C927" s="675"/>
      <c r="D927" s="1">
        <v>50</v>
      </c>
      <c r="E927" s="2"/>
      <c r="F927" s="2"/>
      <c r="G927" s="2"/>
      <c r="H927" s="2"/>
      <c r="I927" s="294"/>
      <c r="J927" s="10"/>
    </row>
    <row r="928" spans="1:10" ht="30" customHeight="1">
      <c r="A928" s="674" t="s">
        <v>74</v>
      </c>
      <c r="B928" s="674"/>
      <c r="C928" s="674"/>
      <c r="D928" s="3">
        <v>40</v>
      </c>
      <c r="E928" s="2">
        <v>2</v>
      </c>
      <c r="F928" s="2">
        <v>0.56</v>
      </c>
      <c r="G928" s="2">
        <v>16.2</v>
      </c>
      <c r="H928" s="3">
        <v>77.84</v>
      </c>
      <c r="I928" s="294"/>
      <c r="J928" s="10"/>
    </row>
    <row r="929" spans="1:10" ht="30" customHeight="1">
      <c r="A929" s="675" t="s">
        <v>72</v>
      </c>
      <c r="B929" s="675"/>
      <c r="C929" s="675"/>
      <c r="D929" s="1">
        <v>40</v>
      </c>
      <c r="E929" s="2"/>
      <c r="F929" s="2"/>
      <c r="G929" s="2"/>
      <c r="H929" s="3"/>
      <c r="I929" s="294"/>
      <c r="J929" s="39"/>
    </row>
    <row r="930" spans="1:18" ht="30" customHeight="1">
      <c r="A930" s="698" t="s">
        <v>202</v>
      </c>
      <c r="B930" s="698"/>
      <c r="C930" s="698"/>
      <c r="D930" s="266"/>
      <c r="E930" s="235">
        <f>E838+E871</f>
        <v>51.35000000000001</v>
      </c>
      <c r="F930" s="235">
        <f>F838+F871</f>
        <v>55.36</v>
      </c>
      <c r="G930" s="235">
        <f>G838+G871</f>
        <v>187.14999999999998</v>
      </c>
      <c r="H930" s="267">
        <f>H838+H871</f>
        <v>1452.2400000000002</v>
      </c>
      <c r="I930" s="302"/>
      <c r="J930" s="10"/>
      <c r="N930" s="40"/>
      <c r="O930" s="40"/>
      <c r="P930" s="40"/>
      <c r="Q930" s="40"/>
      <c r="R930" s="40"/>
    </row>
    <row r="931" spans="1:10" ht="30" customHeight="1">
      <c r="A931" s="706" t="s">
        <v>122</v>
      </c>
      <c r="B931" s="706"/>
      <c r="C931" s="706"/>
      <c r="D931" s="706"/>
      <c r="E931" s="706"/>
      <c r="F931" s="706"/>
      <c r="G931" s="706"/>
      <c r="H931" s="707"/>
      <c r="I931" s="706"/>
      <c r="J931" s="10"/>
    </row>
    <row r="932" spans="1:13" ht="30" customHeight="1">
      <c r="A932" s="693" t="s">
        <v>1</v>
      </c>
      <c r="B932" s="676" t="s">
        <v>2</v>
      </c>
      <c r="C932" s="676" t="s">
        <v>3</v>
      </c>
      <c r="D932" s="676" t="s">
        <v>4</v>
      </c>
      <c r="E932" s="676"/>
      <c r="F932" s="676"/>
      <c r="G932" s="676"/>
      <c r="H932" s="676"/>
      <c r="I932" s="682" t="s">
        <v>201</v>
      </c>
      <c r="J932" s="10"/>
      <c r="M932" s="80" t="s">
        <v>123</v>
      </c>
    </row>
    <row r="933" spans="1:14" ht="30" customHeight="1">
      <c r="A933" s="693"/>
      <c r="B933" s="676"/>
      <c r="C933" s="676"/>
      <c r="D933" s="6" t="s">
        <v>5</v>
      </c>
      <c r="E933" s="62" t="s">
        <v>6</v>
      </c>
      <c r="F933" s="62" t="s">
        <v>7</v>
      </c>
      <c r="G933" s="62" t="s">
        <v>8</v>
      </c>
      <c r="H933" s="69" t="s">
        <v>9</v>
      </c>
      <c r="I933" s="682"/>
      <c r="J933" s="10"/>
      <c r="M933" s="27" t="s">
        <v>34</v>
      </c>
      <c r="N933" s="80">
        <f>+D963+D1031</f>
        <v>60</v>
      </c>
    </row>
    <row r="934" spans="1:14" ht="30" customHeight="1">
      <c r="A934" s="709" t="s">
        <v>10</v>
      </c>
      <c r="B934" s="709"/>
      <c r="C934" s="709"/>
      <c r="D934" s="631">
        <f>D935+D938+D959+D962</f>
        <v>550</v>
      </c>
      <c r="E934" s="71">
        <f>E935+E938+E959+E962+E963+E965</f>
        <v>16.58</v>
      </c>
      <c r="F934" s="71">
        <f>F935+F938+F959+F962+F963+F965</f>
        <v>13.459999999999999</v>
      </c>
      <c r="G934" s="71">
        <f>G935+G938+G959+G962+G963+G965</f>
        <v>94.4</v>
      </c>
      <c r="H934" s="265">
        <f>H935+H938+H959+H962+H963+H965</f>
        <v>564.28</v>
      </c>
      <c r="I934" s="293"/>
      <c r="J934" s="10"/>
      <c r="M934" s="28" t="s">
        <v>35</v>
      </c>
      <c r="N934" s="97">
        <f>+C1017+C1021+D1033+D965</f>
        <v>128</v>
      </c>
    </row>
    <row r="935" spans="1:14" ht="30" customHeight="1">
      <c r="A935" s="412" t="s">
        <v>425</v>
      </c>
      <c r="B935" s="413"/>
      <c r="C935" s="239"/>
      <c r="D935" s="239">
        <v>20</v>
      </c>
      <c r="E935" s="240">
        <v>0.18</v>
      </c>
      <c r="F935" s="240">
        <v>0.1</v>
      </c>
      <c r="G935" s="240">
        <v>0.5</v>
      </c>
      <c r="H935" s="238">
        <f>G935*4+F935*9+E935*4</f>
        <v>3.62</v>
      </c>
      <c r="I935" s="297" t="s">
        <v>350</v>
      </c>
      <c r="J935" s="9"/>
      <c r="M935" s="28" t="s">
        <v>65</v>
      </c>
      <c r="N935" s="81"/>
    </row>
    <row r="936" spans="1:27" s="40" customFormat="1" ht="30" customHeight="1">
      <c r="A936" s="115" t="s">
        <v>351</v>
      </c>
      <c r="B936" s="43">
        <f>C936*1.02</f>
        <v>20.4</v>
      </c>
      <c r="C936" s="230">
        <v>20</v>
      </c>
      <c r="D936" s="239"/>
      <c r="E936" s="240"/>
      <c r="F936" s="240"/>
      <c r="G936" s="240"/>
      <c r="H936" s="396"/>
      <c r="I936" s="284"/>
      <c r="J936" s="92"/>
      <c r="M936" s="29" t="s">
        <v>66</v>
      </c>
      <c r="N936" s="82">
        <f>C942</f>
        <v>51</v>
      </c>
      <c r="O936" s="80"/>
      <c r="P936" s="80"/>
      <c r="Q936" s="80"/>
      <c r="R936" s="80"/>
      <c r="S936" s="80"/>
      <c r="T936" s="80"/>
      <c r="U936" s="80"/>
      <c r="V936" s="80"/>
      <c r="W936" s="80"/>
      <c r="X936" s="80"/>
      <c r="Y936" s="80"/>
      <c r="Z936" s="80"/>
      <c r="AA936" s="80"/>
    </row>
    <row r="937" spans="1:14" ht="30" customHeight="1">
      <c r="A937" s="115" t="s">
        <v>114</v>
      </c>
      <c r="B937" s="26">
        <f>C937*1.05</f>
        <v>21</v>
      </c>
      <c r="C937" s="230">
        <v>20</v>
      </c>
      <c r="D937" s="239"/>
      <c r="E937" s="240"/>
      <c r="F937" s="240"/>
      <c r="G937" s="240"/>
      <c r="H937" s="396"/>
      <c r="I937" s="284"/>
      <c r="J937" s="92"/>
      <c r="M937" s="29" t="s">
        <v>59</v>
      </c>
      <c r="N937" s="82"/>
    </row>
    <row r="938" spans="1:14" ht="30" customHeight="1">
      <c r="A938" s="711" t="s">
        <v>361</v>
      </c>
      <c r="B938" s="711"/>
      <c r="C938" s="711"/>
      <c r="D938" s="418">
        <v>200</v>
      </c>
      <c r="E938" s="240">
        <v>12.9</v>
      </c>
      <c r="F938" s="240">
        <v>12.2</v>
      </c>
      <c r="G938" s="240">
        <v>33.4</v>
      </c>
      <c r="H938" s="419">
        <f>E938*4+F938*9+G938*4</f>
        <v>295</v>
      </c>
      <c r="I938" s="300" t="s">
        <v>362</v>
      </c>
      <c r="J938" s="92"/>
      <c r="M938" s="28" t="s">
        <v>22</v>
      </c>
      <c r="N938" s="82">
        <f>C984+C1024</f>
        <v>197</v>
      </c>
    </row>
    <row r="939" spans="1:14" ht="30" customHeight="1">
      <c r="A939" s="54" t="s">
        <v>466</v>
      </c>
      <c r="B939" s="37">
        <f>C939*1.48</f>
        <v>103.6</v>
      </c>
      <c r="C939" s="446">
        <v>70</v>
      </c>
      <c r="D939" s="445"/>
      <c r="E939" s="421"/>
      <c r="F939" s="32"/>
      <c r="G939" s="32"/>
      <c r="H939" s="104"/>
      <c r="I939" s="311"/>
      <c r="J939" s="92"/>
      <c r="M939" s="28" t="s">
        <v>24</v>
      </c>
      <c r="N939" s="82">
        <f>+C969+C971+++C988+C990+C943+C945+C936+C983+C991+C1019</f>
        <v>256.33333333333337</v>
      </c>
    </row>
    <row r="940" spans="1:14" ht="30" customHeight="1">
      <c r="A940" s="171" t="s">
        <v>332</v>
      </c>
      <c r="B940" s="126">
        <f>C940*1.048</f>
        <v>73.36</v>
      </c>
      <c r="C940" s="23">
        <v>70</v>
      </c>
      <c r="D940" s="282"/>
      <c r="E940" s="440"/>
      <c r="F940" s="33"/>
      <c r="G940" s="33"/>
      <c r="H940" s="24"/>
      <c r="I940" s="441"/>
      <c r="J940" s="92"/>
      <c r="M940" s="28" t="s">
        <v>21</v>
      </c>
      <c r="N940" s="80">
        <f>+D962+C974</f>
        <v>155</v>
      </c>
    </row>
    <row r="941" spans="1:14" ht="30" customHeight="1">
      <c r="A941" s="172" t="s">
        <v>360</v>
      </c>
      <c r="B941" s="133"/>
      <c r="C941" s="173">
        <v>50</v>
      </c>
      <c r="D941" s="445"/>
      <c r="E941" s="270"/>
      <c r="F941" s="32"/>
      <c r="G941" s="32"/>
      <c r="H941" s="45"/>
      <c r="I941" s="447"/>
      <c r="J941" s="92"/>
      <c r="M941" s="28" t="s">
        <v>25</v>
      </c>
      <c r="N941" s="82"/>
    </row>
    <row r="942" spans="1:14" ht="30" customHeight="1">
      <c r="A942" s="20" t="s">
        <v>57</v>
      </c>
      <c r="B942" s="23">
        <v>51</v>
      </c>
      <c r="C942" s="23">
        <v>51</v>
      </c>
      <c r="D942" s="440"/>
      <c r="E942" s="270"/>
      <c r="F942" s="32"/>
      <c r="G942" s="32"/>
      <c r="H942" s="24"/>
      <c r="I942" s="447"/>
      <c r="J942" s="92"/>
      <c r="M942" s="28" t="s">
        <v>61</v>
      </c>
      <c r="N942" s="80">
        <f>D1030</f>
        <v>200</v>
      </c>
    </row>
    <row r="943" spans="1:14" ht="30" customHeight="1">
      <c r="A943" s="115" t="s">
        <v>112</v>
      </c>
      <c r="B943" s="26">
        <f>C943*1.25</f>
        <v>43.75</v>
      </c>
      <c r="C943" s="26">
        <v>35</v>
      </c>
      <c r="D943" s="440"/>
      <c r="E943" s="270"/>
      <c r="F943" s="32"/>
      <c r="G943" s="32"/>
      <c r="H943" s="24"/>
      <c r="I943" s="447"/>
      <c r="J943" s="92"/>
      <c r="M943" s="28" t="s">
        <v>20</v>
      </c>
      <c r="N943" s="82">
        <f>C961+C993+C977</f>
        <v>17.1</v>
      </c>
    </row>
    <row r="944" spans="1:14" ht="30" customHeight="1">
      <c r="A944" s="115" t="s">
        <v>43</v>
      </c>
      <c r="B944" s="24">
        <f>C944*1.33</f>
        <v>46.550000000000004</v>
      </c>
      <c r="C944" s="26">
        <v>35</v>
      </c>
      <c r="D944" s="440"/>
      <c r="E944" s="270"/>
      <c r="F944" s="32"/>
      <c r="G944" s="32"/>
      <c r="H944" s="24"/>
      <c r="I944" s="447"/>
      <c r="J944" s="92"/>
      <c r="M944" s="28" t="s">
        <v>26</v>
      </c>
      <c r="N944" s="82"/>
    </row>
    <row r="945" spans="1:13" ht="30" customHeight="1">
      <c r="A945" s="20" t="s">
        <v>51</v>
      </c>
      <c r="B945" s="26">
        <f>C945*1.19</f>
        <v>9.52</v>
      </c>
      <c r="C945" s="26">
        <v>8</v>
      </c>
      <c r="D945" s="440"/>
      <c r="E945" s="270"/>
      <c r="F945" s="270"/>
      <c r="G945" s="270"/>
      <c r="H945" s="24"/>
      <c r="I945" s="447"/>
      <c r="J945" s="92"/>
      <c r="M945" s="27" t="s">
        <v>79</v>
      </c>
    </row>
    <row r="946" spans="1:14" ht="30" customHeight="1">
      <c r="A946" s="25" t="s">
        <v>44</v>
      </c>
      <c r="B946" s="26">
        <v>10</v>
      </c>
      <c r="C946" s="26">
        <v>10</v>
      </c>
      <c r="D946" s="440"/>
      <c r="E946" s="270"/>
      <c r="F946" s="270"/>
      <c r="G946" s="270"/>
      <c r="H946" s="24"/>
      <c r="I946" s="447"/>
      <c r="J946" s="92"/>
      <c r="M946" s="28" t="s">
        <v>27</v>
      </c>
      <c r="N946" s="81">
        <f>C960</f>
        <v>2</v>
      </c>
    </row>
    <row r="947" spans="1:27" s="40" customFormat="1" ht="30" customHeight="1">
      <c r="A947" s="692" t="s">
        <v>95</v>
      </c>
      <c r="B947" s="692"/>
      <c r="C947" s="692"/>
      <c r="D947" s="692"/>
      <c r="E947" s="692"/>
      <c r="F947" s="692"/>
      <c r="G947" s="692"/>
      <c r="H947" s="692"/>
      <c r="I947" s="692"/>
      <c r="J947" s="92"/>
      <c r="M947" s="27" t="s">
        <v>199</v>
      </c>
      <c r="N947" s="262"/>
      <c r="O947" s="80"/>
      <c r="P947" s="80"/>
      <c r="Q947" s="80"/>
      <c r="R947" s="80"/>
      <c r="S947" s="80"/>
      <c r="T947" s="80"/>
      <c r="U947" s="80"/>
      <c r="V947" s="80"/>
      <c r="W947" s="80"/>
      <c r="X947" s="80"/>
      <c r="Y947" s="80"/>
      <c r="Z947" s="80"/>
      <c r="AA947" s="80"/>
    </row>
    <row r="948" spans="1:14" ht="30" customHeight="1">
      <c r="A948" s="683" t="s">
        <v>439</v>
      </c>
      <c r="B948" s="683"/>
      <c r="C948" s="683"/>
      <c r="D948" s="632">
        <v>200</v>
      </c>
      <c r="E948" s="21">
        <v>12.6</v>
      </c>
      <c r="F948" s="21">
        <v>13.5</v>
      </c>
      <c r="G948" s="21">
        <v>35.5</v>
      </c>
      <c r="H948" s="238">
        <f>E948*4+F948*9+G948*4</f>
        <v>313.9</v>
      </c>
      <c r="I948" s="302" t="s">
        <v>363</v>
      </c>
      <c r="J948" s="92"/>
      <c r="M948" s="28" t="s">
        <v>67</v>
      </c>
      <c r="N948" s="82">
        <f>C980+C1014+C1016</f>
        <v>90</v>
      </c>
    </row>
    <row r="949" spans="1:14" ht="30" customHeight="1">
      <c r="A949" s="132" t="s">
        <v>45</v>
      </c>
      <c r="B949" s="37">
        <f>C949*1.36</f>
        <v>107.44000000000001</v>
      </c>
      <c r="C949" s="45">
        <v>79</v>
      </c>
      <c r="D949" s="632"/>
      <c r="E949" s="21"/>
      <c r="F949" s="21"/>
      <c r="G949" s="21"/>
      <c r="H949" s="238"/>
      <c r="I949" s="302"/>
      <c r="J949" s="92"/>
      <c r="M949" s="27" t="s">
        <v>200</v>
      </c>
      <c r="N949" s="263"/>
    </row>
    <row r="950" spans="1:14" ht="30" customHeight="1">
      <c r="A950" s="132" t="s">
        <v>46</v>
      </c>
      <c r="B950" s="37">
        <f>C950*1.18</f>
        <v>93.22</v>
      </c>
      <c r="C950" s="33">
        <f>C949</f>
        <v>79</v>
      </c>
      <c r="D950" s="398"/>
      <c r="E950" s="399"/>
      <c r="F950" s="399"/>
      <c r="G950" s="399"/>
      <c r="H950" s="316"/>
      <c r="I950" s="448"/>
      <c r="J950" s="92"/>
      <c r="M950" s="27" t="s">
        <v>62</v>
      </c>
      <c r="N950" s="82">
        <f>C939</f>
        <v>70</v>
      </c>
    </row>
    <row r="951" spans="1:14" ht="30" customHeight="1">
      <c r="A951" s="54" t="s">
        <v>135</v>
      </c>
      <c r="B951" s="159">
        <f>C951*1.17</f>
        <v>86.58</v>
      </c>
      <c r="C951" s="57">
        <v>74</v>
      </c>
      <c r="D951" s="632"/>
      <c r="E951" s="38"/>
      <c r="F951" s="38"/>
      <c r="G951" s="38"/>
      <c r="H951" s="57"/>
      <c r="I951" s="309"/>
      <c r="J951" s="92"/>
      <c r="M951" s="28" t="s">
        <v>28</v>
      </c>
      <c r="N951" s="82"/>
    </row>
    <row r="952" spans="1:14" ht="30" customHeight="1">
      <c r="A952" s="25" t="s">
        <v>44</v>
      </c>
      <c r="B952" s="26">
        <v>8</v>
      </c>
      <c r="C952" s="26">
        <v>8</v>
      </c>
      <c r="D952" s="1"/>
      <c r="E952" s="21"/>
      <c r="F952" s="21"/>
      <c r="G952" s="21"/>
      <c r="H952" s="238"/>
      <c r="I952" s="302"/>
      <c r="J952" s="92"/>
      <c r="M952" s="30" t="s">
        <v>29</v>
      </c>
      <c r="N952" s="82">
        <f>C1018+C1028</f>
        <v>41</v>
      </c>
    </row>
    <row r="953" spans="1:14" ht="30" customHeight="1">
      <c r="A953" s="172" t="s">
        <v>92</v>
      </c>
      <c r="B953" s="3"/>
      <c r="C953" s="3">
        <v>50</v>
      </c>
      <c r="D953" s="1"/>
      <c r="E953" s="21"/>
      <c r="F953" s="21"/>
      <c r="G953" s="21"/>
      <c r="H953" s="238"/>
      <c r="I953" s="302"/>
      <c r="J953" s="92"/>
      <c r="M953" s="72" t="s">
        <v>85</v>
      </c>
      <c r="N953" s="84"/>
    </row>
    <row r="954" spans="1:13" ht="30" customHeight="1">
      <c r="A954" s="25" t="s">
        <v>57</v>
      </c>
      <c r="B954" s="26">
        <v>51</v>
      </c>
      <c r="C954" s="26">
        <v>51</v>
      </c>
      <c r="D954" s="1"/>
      <c r="E954" s="21"/>
      <c r="F954" s="21"/>
      <c r="G954" s="21"/>
      <c r="H954" s="238"/>
      <c r="I954" s="302"/>
      <c r="J954" s="92"/>
      <c r="M954" s="27" t="s">
        <v>30</v>
      </c>
    </row>
    <row r="955" spans="1:14" ht="30" customHeight="1">
      <c r="A955" s="115" t="s">
        <v>112</v>
      </c>
      <c r="B955" s="24">
        <f>C955*1.25</f>
        <v>21.25</v>
      </c>
      <c r="C955" s="45">
        <v>17</v>
      </c>
      <c r="D955" s="632"/>
      <c r="E955" s="21"/>
      <c r="F955" s="21"/>
      <c r="G955" s="21"/>
      <c r="H955" s="238"/>
      <c r="I955" s="302"/>
      <c r="J955" s="92"/>
      <c r="M955" s="27" t="s">
        <v>31</v>
      </c>
      <c r="N955" s="82">
        <f>C994</f>
        <v>5</v>
      </c>
    </row>
    <row r="956" spans="1:21" ht="30" customHeight="1">
      <c r="A956" s="115" t="s">
        <v>43</v>
      </c>
      <c r="B956" s="24">
        <f>C956*1.33</f>
        <v>22.61</v>
      </c>
      <c r="C956" s="45">
        <v>17</v>
      </c>
      <c r="D956" s="632"/>
      <c r="E956" s="21"/>
      <c r="F956" s="21"/>
      <c r="G956" s="21"/>
      <c r="H956" s="238"/>
      <c r="I956" s="302"/>
      <c r="M956" s="28" t="s">
        <v>68</v>
      </c>
      <c r="N956" s="82"/>
      <c r="S956" s="40"/>
      <c r="T956" s="40"/>
      <c r="U956" s="40"/>
    </row>
    <row r="957" spans="1:14" ht="30" customHeight="1">
      <c r="A957" s="25" t="s">
        <v>51</v>
      </c>
      <c r="B957" s="26">
        <f>C957*1.19</f>
        <v>9.52</v>
      </c>
      <c r="C957" s="26">
        <v>8</v>
      </c>
      <c r="D957" s="632"/>
      <c r="E957" s="21"/>
      <c r="F957" s="21"/>
      <c r="G957" s="21"/>
      <c r="H957" s="238"/>
      <c r="I957" s="302"/>
      <c r="M957" s="27" t="s">
        <v>32</v>
      </c>
      <c r="N957" s="82">
        <f>C992+C1029</f>
        <v>12</v>
      </c>
    </row>
    <row r="958" spans="1:27" ht="30" customHeight="1">
      <c r="A958" s="89" t="s">
        <v>83</v>
      </c>
      <c r="B958" s="45">
        <v>8</v>
      </c>
      <c r="C958" s="45">
        <v>8</v>
      </c>
      <c r="D958" s="632"/>
      <c r="E958" s="21"/>
      <c r="F958" s="21"/>
      <c r="G958" s="21"/>
      <c r="H958" s="238"/>
      <c r="I958" s="302"/>
      <c r="M958" s="27" t="s">
        <v>23</v>
      </c>
      <c r="N958" s="82">
        <f>B1022+C978+C946</f>
        <v>17</v>
      </c>
      <c r="V958" s="83"/>
      <c r="W958" s="83"/>
      <c r="X958" s="83"/>
      <c r="Y958" s="83"/>
      <c r="Z958" s="83"/>
      <c r="AA958" s="83"/>
    </row>
    <row r="959" spans="1:14" ht="30" customHeight="1">
      <c r="A959" s="674" t="s">
        <v>269</v>
      </c>
      <c r="B959" s="674"/>
      <c r="C959" s="674"/>
      <c r="D959" s="1">
        <v>200</v>
      </c>
      <c r="E959" s="2">
        <v>0.2</v>
      </c>
      <c r="F959" s="2">
        <v>0</v>
      </c>
      <c r="G959" s="2">
        <v>15</v>
      </c>
      <c r="H959" s="3">
        <f>G959*4+F959*9+E959*4</f>
        <v>60.8</v>
      </c>
      <c r="I959" s="294" t="s">
        <v>270</v>
      </c>
      <c r="M959" s="28" t="s">
        <v>33</v>
      </c>
      <c r="N959" s="82">
        <f>C1020</f>
        <v>4</v>
      </c>
    </row>
    <row r="960" spans="1:13" ht="30" customHeight="1">
      <c r="A960" s="53" t="s">
        <v>113</v>
      </c>
      <c r="B960" s="57">
        <v>2</v>
      </c>
      <c r="C960" s="57">
        <v>2</v>
      </c>
      <c r="D960" s="47"/>
      <c r="E960" s="231"/>
      <c r="F960" s="231"/>
      <c r="G960" s="35"/>
      <c r="H960" s="26"/>
      <c r="I960" s="297"/>
      <c r="M960" s="28" t="s">
        <v>78</v>
      </c>
    </row>
    <row r="961" spans="1:13" ht="30" customHeight="1">
      <c r="A961" s="89" t="s">
        <v>94</v>
      </c>
      <c r="B961" s="58">
        <v>15</v>
      </c>
      <c r="C961" s="58">
        <v>15</v>
      </c>
      <c r="D961" s="47"/>
      <c r="E961" s="47"/>
      <c r="F961" s="47"/>
      <c r="G961" s="47"/>
      <c r="H961" s="46"/>
      <c r="I961" s="296"/>
      <c r="M961" s="264" t="s">
        <v>193</v>
      </c>
    </row>
    <row r="962" spans="1:27" ht="30" customHeight="1">
      <c r="A962" s="683" t="s">
        <v>239</v>
      </c>
      <c r="B962" s="683"/>
      <c r="C962" s="683"/>
      <c r="D962" s="275">
        <v>130</v>
      </c>
      <c r="E962" s="242">
        <v>0.6</v>
      </c>
      <c r="F962" s="242">
        <v>0.5</v>
      </c>
      <c r="G962" s="242">
        <v>19.9</v>
      </c>
      <c r="H962" s="238">
        <f>G962*4+F962*9+E962*4</f>
        <v>86.5</v>
      </c>
      <c r="I962" s="302" t="s">
        <v>224</v>
      </c>
      <c r="M962" s="74"/>
      <c r="V962" s="40"/>
      <c r="W962" s="40"/>
      <c r="X962" s="40"/>
      <c r="Y962" s="40"/>
      <c r="Z962" s="40"/>
      <c r="AA962" s="40"/>
    </row>
    <row r="963" spans="1:13" ht="30" customHeight="1">
      <c r="A963" s="674" t="s">
        <v>34</v>
      </c>
      <c r="B963" s="674"/>
      <c r="C963" s="674"/>
      <c r="D963" s="1">
        <v>20</v>
      </c>
      <c r="E963" s="2">
        <v>0.7</v>
      </c>
      <c r="F963" s="2">
        <v>0.1</v>
      </c>
      <c r="G963" s="2">
        <v>9.4</v>
      </c>
      <c r="H963" s="3">
        <v>40.52</v>
      </c>
      <c r="I963" s="294"/>
      <c r="J963" s="92"/>
      <c r="M963" s="74"/>
    </row>
    <row r="964" spans="1:13" ht="30" customHeight="1">
      <c r="A964" s="675" t="s">
        <v>145</v>
      </c>
      <c r="B964" s="675"/>
      <c r="C964" s="675"/>
      <c r="D964" s="1">
        <v>20</v>
      </c>
      <c r="E964" s="2"/>
      <c r="F964" s="2"/>
      <c r="G964" s="2"/>
      <c r="H964" s="3"/>
      <c r="I964" s="294"/>
      <c r="J964" s="92"/>
      <c r="M964" s="74"/>
    </row>
    <row r="965" spans="1:13" ht="30" customHeight="1">
      <c r="A965" s="674" t="s">
        <v>74</v>
      </c>
      <c r="B965" s="674"/>
      <c r="C965" s="674"/>
      <c r="D965" s="3">
        <v>40</v>
      </c>
      <c r="E965" s="2">
        <v>2</v>
      </c>
      <c r="F965" s="2">
        <v>0.56</v>
      </c>
      <c r="G965" s="2">
        <v>16.2</v>
      </c>
      <c r="H965" s="3">
        <v>77.84</v>
      </c>
      <c r="I965" s="294"/>
      <c r="J965" s="92"/>
      <c r="M965" s="77"/>
    </row>
    <row r="966" spans="1:13" ht="30" customHeight="1">
      <c r="A966" s="675" t="s">
        <v>72</v>
      </c>
      <c r="B966" s="675"/>
      <c r="C966" s="675"/>
      <c r="D966" s="1">
        <v>40</v>
      </c>
      <c r="E966" s="2"/>
      <c r="F966" s="2"/>
      <c r="G966" s="2"/>
      <c r="H966" s="2"/>
      <c r="I966" s="294"/>
      <c r="J966" s="92"/>
      <c r="M966" s="78"/>
    </row>
    <row r="967" spans="1:27" s="40" customFormat="1" ht="30" customHeight="1">
      <c r="A967" s="690" t="s">
        <v>205</v>
      </c>
      <c r="B967" s="690"/>
      <c r="C967" s="690"/>
      <c r="D967" s="243">
        <f>D968+265+D1013+D1023+D1030</f>
        <v>845</v>
      </c>
      <c r="E967" s="71">
        <f>E968+E979+E1013+E1023+E1030+E1031+E1033</f>
        <v>30.079999999999995</v>
      </c>
      <c r="F967" s="71">
        <f>F968+F979+F1013+F1023+F1030+F1031+F1033</f>
        <v>30.539999999999996</v>
      </c>
      <c r="G967" s="71">
        <f>G968+G979+G1013+G1023+G1030+G1031+G1033</f>
        <v>126.78</v>
      </c>
      <c r="H967" s="71">
        <f>H968+H979+H1013+H1023+H1030+H1031+H1033</f>
        <v>902.3</v>
      </c>
      <c r="I967" s="293"/>
      <c r="J967" s="12"/>
      <c r="M967" s="75"/>
      <c r="N967" s="80"/>
      <c r="O967" s="83"/>
      <c r="P967" s="83"/>
      <c r="Q967" s="83"/>
      <c r="R967" s="83"/>
      <c r="S967" s="80"/>
      <c r="T967" s="80"/>
      <c r="U967" s="80"/>
      <c r="V967" s="80"/>
      <c r="W967" s="80"/>
      <c r="X967" s="80"/>
      <c r="Y967" s="80"/>
      <c r="Z967" s="80"/>
      <c r="AA967" s="80"/>
    </row>
    <row r="968" spans="1:10" ht="30" customHeight="1">
      <c r="A968" s="671" t="s">
        <v>549</v>
      </c>
      <c r="B968" s="671"/>
      <c r="C968" s="671"/>
      <c r="D968" s="1">
        <v>100</v>
      </c>
      <c r="E968" s="2">
        <v>1.1</v>
      </c>
      <c r="F968" s="2">
        <v>5</v>
      </c>
      <c r="G968" s="2">
        <v>3.3</v>
      </c>
      <c r="H968" s="3">
        <f>E968*4+F968*9+G968*4</f>
        <v>62.599999999999994</v>
      </c>
      <c r="I968" s="297" t="s">
        <v>550</v>
      </c>
      <c r="J968" s="12"/>
    </row>
    <row r="969" spans="1:10" ht="30" customHeight="1">
      <c r="A969" s="585" t="s">
        <v>551</v>
      </c>
      <c r="B969" s="46">
        <f>C969*1.25</f>
        <v>88.75</v>
      </c>
      <c r="C969" s="47">
        <v>71</v>
      </c>
      <c r="D969" s="266"/>
      <c r="E969" s="50"/>
      <c r="F969" s="50"/>
      <c r="G969" s="50"/>
      <c r="H969" s="50"/>
      <c r="I969" s="468"/>
      <c r="J969" s="13"/>
    </row>
    <row r="970" spans="1:10" ht="30" customHeight="1">
      <c r="A970" s="585" t="s">
        <v>518</v>
      </c>
      <c r="B970" s="617"/>
      <c r="C970" s="618">
        <v>45</v>
      </c>
      <c r="D970" s="266"/>
      <c r="E970" s="50"/>
      <c r="F970" s="50"/>
      <c r="G970" s="50"/>
      <c r="H970" s="50"/>
      <c r="I970" s="468"/>
      <c r="J970" s="13"/>
    </row>
    <row r="971" spans="1:27" ht="30" customHeight="1">
      <c r="A971" s="100" t="s">
        <v>488</v>
      </c>
      <c r="B971" s="46">
        <f>C971*1.25</f>
        <v>32.5</v>
      </c>
      <c r="C971" s="47">
        <v>26</v>
      </c>
      <c r="D971" s="266"/>
      <c r="E971" s="50"/>
      <c r="F971" s="2"/>
      <c r="G971" s="2"/>
      <c r="H971" s="3"/>
      <c r="I971" s="320"/>
      <c r="J971" s="13"/>
      <c r="V971" s="83"/>
      <c r="W971" s="83"/>
      <c r="X971" s="83"/>
      <c r="Y971" s="83"/>
      <c r="Z971" s="83"/>
      <c r="AA971" s="83"/>
    </row>
    <row r="972" spans="1:10" ht="30" customHeight="1">
      <c r="A972" s="100" t="s">
        <v>43</v>
      </c>
      <c r="B972" s="46">
        <f>C972*1.33</f>
        <v>34.58</v>
      </c>
      <c r="C972" s="47">
        <v>26</v>
      </c>
      <c r="D972" s="266"/>
      <c r="E972" s="50"/>
      <c r="F972" s="2"/>
      <c r="G972" s="2"/>
      <c r="H972" s="3"/>
      <c r="I972" s="320"/>
      <c r="J972" s="91"/>
    </row>
    <row r="973" spans="1:10" ht="30" customHeight="1">
      <c r="A973" s="685" t="s">
        <v>519</v>
      </c>
      <c r="B973" s="685"/>
      <c r="C973" s="685"/>
      <c r="D973" s="266"/>
      <c r="E973" s="50"/>
      <c r="F973" s="50"/>
      <c r="G973" s="50"/>
      <c r="H973" s="3"/>
      <c r="I973" s="320"/>
      <c r="J973" s="93"/>
    </row>
    <row r="974" spans="1:10" ht="30" customHeight="1">
      <c r="A974" s="585" t="s">
        <v>552</v>
      </c>
      <c r="B974" s="46">
        <f>C974*1.43</f>
        <v>35.75</v>
      </c>
      <c r="C974" s="47">
        <v>25</v>
      </c>
      <c r="D974" s="266"/>
      <c r="E974" s="50"/>
      <c r="F974" s="50"/>
      <c r="G974" s="50"/>
      <c r="H974" s="3"/>
      <c r="I974" s="320"/>
      <c r="J974" s="91"/>
    </row>
    <row r="975" spans="1:10" ht="30" customHeight="1">
      <c r="A975" s="585" t="s">
        <v>144</v>
      </c>
      <c r="B975" s="50">
        <v>0.1</v>
      </c>
      <c r="C975" s="47">
        <v>0.1</v>
      </c>
      <c r="D975" s="266"/>
      <c r="E975" s="50"/>
      <c r="F975" s="50"/>
      <c r="G975" s="50"/>
      <c r="H975" s="46"/>
      <c r="I975" s="470"/>
      <c r="J975" s="91"/>
    </row>
    <row r="976" spans="1:10" ht="30" customHeight="1">
      <c r="A976" s="585" t="s">
        <v>553</v>
      </c>
      <c r="B976" s="46">
        <v>5</v>
      </c>
      <c r="C976" s="47">
        <v>5</v>
      </c>
      <c r="D976" s="266"/>
      <c r="E976" s="50"/>
      <c r="F976" s="50"/>
      <c r="G976" s="50"/>
      <c r="H976" s="46"/>
      <c r="I976" s="470"/>
      <c r="J976" s="8"/>
    </row>
    <row r="977" spans="1:10" ht="30" customHeight="1">
      <c r="A977" s="585" t="s">
        <v>39</v>
      </c>
      <c r="B977" s="50">
        <v>1.5</v>
      </c>
      <c r="C977" s="47">
        <v>1.5</v>
      </c>
      <c r="D977" s="266"/>
      <c r="E977" s="50"/>
      <c r="F977" s="50"/>
      <c r="G977" s="50"/>
      <c r="H977" s="46"/>
      <c r="I977" s="470"/>
      <c r="J977" s="8"/>
    </row>
    <row r="978" spans="1:10" ht="30" customHeight="1">
      <c r="A978" s="100" t="s">
        <v>44</v>
      </c>
      <c r="B978" s="46">
        <v>5</v>
      </c>
      <c r="C978" s="46">
        <v>5</v>
      </c>
      <c r="D978" s="266"/>
      <c r="E978" s="50"/>
      <c r="F978" s="2"/>
      <c r="G978" s="2"/>
      <c r="H978" s="3"/>
      <c r="I978" s="320"/>
      <c r="J978" s="9"/>
    </row>
    <row r="979" spans="1:11" ht="30" customHeight="1">
      <c r="A979" s="671" t="s">
        <v>572</v>
      </c>
      <c r="B979" s="671"/>
      <c r="C979" s="671"/>
      <c r="D979" s="668" t="s">
        <v>206</v>
      </c>
      <c r="E979" s="21">
        <v>5</v>
      </c>
      <c r="F979" s="21">
        <v>5.7</v>
      </c>
      <c r="G979" s="21">
        <v>21</v>
      </c>
      <c r="H979" s="238">
        <f>G979*4+F979*9+E979*4</f>
        <v>155.3</v>
      </c>
      <c r="I979" s="294" t="s">
        <v>246</v>
      </c>
      <c r="J979" s="10"/>
      <c r="K979" s="80" t="s">
        <v>124</v>
      </c>
    </row>
    <row r="980" spans="1:12" ht="30" customHeight="1">
      <c r="A980" s="54" t="s">
        <v>45</v>
      </c>
      <c r="B980" s="37">
        <f>C980*1.36</f>
        <v>21.76</v>
      </c>
      <c r="C980" s="57">
        <v>16</v>
      </c>
      <c r="D980" s="218"/>
      <c r="E980" s="225"/>
      <c r="F980" s="225"/>
      <c r="G980" s="225"/>
      <c r="H980" s="233"/>
      <c r="I980" s="305"/>
      <c r="J980" s="10"/>
      <c r="K980" s="27" t="s">
        <v>34</v>
      </c>
      <c r="L980" s="80">
        <f>++D1135</f>
        <v>60</v>
      </c>
    </row>
    <row r="981" spans="1:12" ht="30" customHeight="1">
      <c r="A981" s="54" t="s">
        <v>46</v>
      </c>
      <c r="B981" s="37">
        <f>C981*1.18</f>
        <v>18.88</v>
      </c>
      <c r="C981" s="57">
        <v>16</v>
      </c>
      <c r="D981" s="218"/>
      <c r="E981" s="225"/>
      <c r="F981" s="2"/>
      <c r="G981" s="63"/>
      <c r="H981" s="105"/>
      <c r="I981" s="307"/>
      <c r="J981" s="10"/>
      <c r="K981" s="28" t="s">
        <v>35</v>
      </c>
      <c r="L981" s="82">
        <f>D1072+D1137+C1105+C1109</f>
        <v>112</v>
      </c>
    </row>
    <row r="982" spans="1:12" ht="30" customHeight="1">
      <c r="A982" s="53" t="s">
        <v>147</v>
      </c>
      <c r="B982" s="24">
        <f>C982*1.25</f>
        <v>80</v>
      </c>
      <c r="C982" s="26">
        <v>64</v>
      </c>
      <c r="D982" s="234"/>
      <c r="E982" s="32"/>
      <c r="F982" s="32"/>
      <c r="G982" s="32"/>
      <c r="H982" s="45"/>
      <c r="I982" s="21"/>
      <c r="J982" s="10"/>
      <c r="K982" s="28" t="s">
        <v>65</v>
      </c>
      <c r="L982" s="81">
        <f>+B1054+B1055</f>
        <v>35</v>
      </c>
    </row>
    <row r="983" spans="1:12" ht="30" customHeight="1">
      <c r="A983" s="115" t="s">
        <v>43</v>
      </c>
      <c r="B983" s="26">
        <f>C983*1.33</f>
        <v>85.34166666666668</v>
      </c>
      <c r="C983" s="26">
        <v>64.16666666666667</v>
      </c>
      <c r="D983" s="234"/>
      <c r="E983" s="32"/>
      <c r="F983" s="32"/>
      <c r="G983" s="32"/>
      <c r="H983" s="45"/>
      <c r="I983" s="21"/>
      <c r="J983" s="10"/>
      <c r="K983" s="29" t="s">
        <v>66</v>
      </c>
      <c r="L983" s="82">
        <f>+B1041</f>
        <v>40</v>
      </c>
    </row>
    <row r="984" spans="1:12" ht="30" customHeight="1">
      <c r="A984" s="115" t="s">
        <v>47</v>
      </c>
      <c r="B984" s="24">
        <f>C984*1.33</f>
        <v>57.190000000000005</v>
      </c>
      <c r="C984" s="26">
        <v>43</v>
      </c>
      <c r="D984" s="234"/>
      <c r="E984" s="32"/>
      <c r="F984" s="32"/>
      <c r="G984" s="32"/>
      <c r="H984" s="45"/>
      <c r="I984" s="21"/>
      <c r="J984" s="10"/>
      <c r="K984" s="29" t="s">
        <v>59</v>
      </c>
      <c r="L984" s="82"/>
    </row>
    <row r="985" spans="1:12" ht="30" customHeight="1">
      <c r="A985" s="115" t="s">
        <v>48</v>
      </c>
      <c r="B985" s="24">
        <f>C985*1.43</f>
        <v>61.489999999999995</v>
      </c>
      <c r="C985" s="26">
        <v>43</v>
      </c>
      <c r="D985" s="234"/>
      <c r="E985" s="32"/>
      <c r="F985" s="32"/>
      <c r="G985" s="32"/>
      <c r="H985" s="45"/>
      <c r="I985" s="21"/>
      <c r="J985" s="10"/>
      <c r="K985" s="28" t="s">
        <v>22</v>
      </c>
      <c r="L985" s="82">
        <f>C1124+C1086</f>
        <v>245</v>
      </c>
    </row>
    <row r="986" spans="1:12" ht="30" customHeight="1">
      <c r="A986" s="20" t="s">
        <v>49</v>
      </c>
      <c r="B986" s="24">
        <f>C986*1.54</f>
        <v>66.22</v>
      </c>
      <c r="C986" s="26">
        <v>43</v>
      </c>
      <c r="D986" s="234"/>
      <c r="E986" s="32"/>
      <c r="F986" s="32"/>
      <c r="G986" s="32"/>
      <c r="H986" s="45"/>
      <c r="I986" s="21"/>
      <c r="J986" s="10"/>
      <c r="K986" s="28" t="s">
        <v>24</v>
      </c>
      <c r="L986" s="82">
        <f>+C1108+C1077+C1129+C1091+C1093+C1094+C1090</f>
        <v>183</v>
      </c>
    </row>
    <row r="987" spans="1:12" ht="30" customHeight="1">
      <c r="A987" s="20" t="s">
        <v>50</v>
      </c>
      <c r="B987" s="24">
        <f>C987*1.67</f>
        <v>71.81</v>
      </c>
      <c r="C987" s="26">
        <v>43</v>
      </c>
      <c r="D987" s="234"/>
      <c r="E987" s="32"/>
      <c r="F987" s="32"/>
      <c r="G987" s="32"/>
      <c r="H987" s="45"/>
      <c r="I987" s="21"/>
      <c r="J987" s="10"/>
      <c r="K987" s="28" t="s">
        <v>21</v>
      </c>
      <c r="L987" s="82">
        <f>D1071</f>
        <v>130</v>
      </c>
    </row>
    <row r="988" spans="1:27" s="40" customFormat="1" ht="30" customHeight="1">
      <c r="A988" s="115" t="s">
        <v>112</v>
      </c>
      <c r="B988" s="43">
        <f>C988*1.25</f>
        <v>12.5</v>
      </c>
      <c r="C988" s="26">
        <v>10</v>
      </c>
      <c r="D988" s="234"/>
      <c r="E988" s="32"/>
      <c r="F988" s="32"/>
      <c r="G988" s="32"/>
      <c r="H988" s="45"/>
      <c r="I988" s="21"/>
      <c r="J988" s="10"/>
      <c r="K988" s="28" t="s">
        <v>25</v>
      </c>
      <c r="L988" s="82">
        <f>C1133</f>
        <v>25</v>
      </c>
      <c r="M988" s="80"/>
      <c r="N988" s="80"/>
      <c r="O988" s="80"/>
      <c r="P988" s="80"/>
      <c r="Q988" s="80"/>
      <c r="R988" s="80"/>
      <c r="S988" s="80"/>
      <c r="T988" s="80"/>
      <c r="U988" s="80"/>
      <c r="V988" s="80"/>
      <c r="W988" s="80"/>
      <c r="X988" s="80"/>
      <c r="Y988" s="80"/>
      <c r="Z988" s="80"/>
      <c r="AA988" s="80"/>
    </row>
    <row r="989" spans="1:11" ht="30" customHeight="1">
      <c r="A989" s="115" t="s">
        <v>43</v>
      </c>
      <c r="B989" s="43">
        <f>C989*1.33</f>
        <v>13.3</v>
      </c>
      <c r="C989" s="26">
        <v>10</v>
      </c>
      <c r="D989" s="234"/>
      <c r="E989" s="32"/>
      <c r="F989" s="32"/>
      <c r="G989" s="32"/>
      <c r="H989" s="45"/>
      <c r="I989" s="21"/>
      <c r="J989" s="10"/>
      <c r="K989" s="28" t="s">
        <v>61</v>
      </c>
    </row>
    <row r="990" spans="1:13" ht="30" customHeight="1">
      <c r="A990" s="20" t="s">
        <v>51</v>
      </c>
      <c r="B990" s="26">
        <f>C990*1.19</f>
        <v>12.891666666666667</v>
      </c>
      <c r="C990" s="24">
        <v>10.833333333333334</v>
      </c>
      <c r="D990" s="234"/>
      <c r="E990" s="32"/>
      <c r="F990" s="32"/>
      <c r="G990" s="32"/>
      <c r="H990" s="45"/>
      <c r="I990" s="21"/>
      <c r="J990" s="10"/>
      <c r="K990" s="28" t="s">
        <v>20</v>
      </c>
      <c r="L990" s="82">
        <f>+C1070+C1134+B1043+B1056+B1057</f>
        <v>40</v>
      </c>
      <c r="M990" s="40"/>
    </row>
    <row r="991" spans="1:11" ht="30" customHeight="1">
      <c r="A991" s="89" t="s">
        <v>83</v>
      </c>
      <c r="B991" s="24">
        <v>3</v>
      </c>
      <c r="C991" s="24">
        <v>3.3333333333333335</v>
      </c>
      <c r="D991" s="234"/>
      <c r="E991" s="32"/>
      <c r="F991" s="32"/>
      <c r="G991" s="32"/>
      <c r="H991" s="45"/>
      <c r="I991" s="21"/>
      <c r="J991" s="10"/>
      <c r="K991" s="28" t="s">
        <v>26</v>
      </c>
    </row>
    <row r="992" spans="1:12" ht="30" customHeight="1">
      <c r="A992" s="59" t="s">
        <v>40</v>
      </c>
      <c r="B992" s="45">
        <v>5</v>
      </c>
      <c r="C992" s="45">
        <v>5</v>
      </c>
      <c r="D992" s="23"/>
      <c r="E992" s="32"/>
      <c r="F992" s="32"/>
      <c r="G992" s="32"/>
      <c r="H992" s="238"/>
      <c r="I992" s="299"/>
      <c r="J992" s="10"/>
      <c r="K992" s="27" t="s">
        <v>79</v>
      </c>
      <c r="L992" s="82">
        <f>B1068</f>
        <v>5</v>
      </c>
    </row>
    <row r="993" spans="1:11" ht="30" customHeight="1">
      <c r="A993" s="20" t="s">
        <v>39</v>
      </c>
      <c r="B993" s="269">
        <v>0.6</v>
      </c>
      <c r="C993" s="269">
        <v>0.6</v>
      </c>
      <c r="D993" s="234"/>
      <c r="E993" s="32"/>
      <c r="F993" s="32"/>
      <c r="G993" s="32"/>
      <c r="H993" s="45"/>
      <c r="I993" s="21"/>
      <c r="J993" s="10"/>
      <c r="K993" s="28" t="s">
        <v>27</v>
      </c>
    </row>
    <row r="994" spans="1:12" ht="30" customHeight="1">
      <c r="A994" s="115" t="s">
        <v>52</v>
      </c>
      <c r="B994" s="33">
        <v>5</v>
      </c>
      <c r="C994" s="33">
        <v>5</v>
      </c>
      <c r="D994" s="234"/>
      <c r="E994" s="32"/>
      <c r="F994" s="32"/>
      <c r="G994" s="32"/>
      <c r="H994" s="45"/>
      <c r="I994" s="21"/>
      <c r="J994" s="10"/>
      <c r="K994" s="27" t="s">
        <v>199</v>
      </c>
      <c r="L994" s="262"/>
    </row>
    <row r="995" spans="1:12" ht="30" customHeight="1">
      <c r="A995" s="692" t="s">
        <v>95</v>
      </c>
      <c r="B995" s="692"/>
      <c r="C995" s="692"/>
      <c r="D995" s="692"/>
      <c r="E995" s="692"/>
      <c r="F995" s="692"/>
      <c r="G995" s="692"/>
      <c r="H995" s="692"/>
      <c r="I995" s="692"/>
      <c r="J995" s="10"/>
      <c r="K995" s="28" t="s">
        <v>67</v>
      </c>
      <c r="L995" s="82">
        <f>+C1080</f>
        <v>16</v>
      </c>
    </row>
    <row r="996" spans="1:12" ht="30" customHeight="1">
      <c r="A996" s="671" t="s">
        <v>520</v>
      </c>
      <c r="B996" s="671"/>
      <c r="C996" s="671"/>
      <c r="D996" s="668" t="s">
        <v>206</v>
      </c>
      <c r="E996" s="21">
        <v>5.7</v>
      </c>
      <c r="F996" s="21">
        <v>6.3</v>
      </c>
      <c r="G996" s="21">
        <v>21</v>
      </c>
      <c r="H996" s="238">
        <f>G996*4+F996*9+E996*4</f>
        <v>163.5</v>
      </c>
      <c r="I996" s="294" t="s">
        <v>246</v>
      </c>
      <c r="J996" s="10"/>
      <c r="K996" s="27" t="s">
        <v>200</v>
      </c>
      <c r="L996" s="263"/>
    </row>
    <row r="997" spans="1:27" ht="30" customHeight="1">
      <c r="A997" s="54" t="s">
        <v>460</v>
      </c>
      <c r="B997" s="37">
        <v>29</v>
      </c>
      <c r="C997" s="24">
        <v>26</v>
      </c>
      <c r="D997" s="33"/>
      <c r="E997" s="270"/>
      <c r="F997" s="32"/>
      <c r="G997" s="32"/>
      <c r="H997" s="45"/>
      <c r="I997" s="302"/>
      <c r="J997" s="10"/>
      <c r="K997" s="27" t="s">
        <v>62</v>
      </c>
      <c r="L997" s="82"/>
      <c r="V997" s="40"/>
      <c r="W997" s="40"/>
      <c r="X997" s="40"/>
      <c r="Y997" s="40"/>
      <c r="Z997" s="40"/>
      <c r="AA997" s="40"/>
    </row>
    <row r="998" spans="1:21" s="40" customFormat="1" ht="30" customHeight="1">
      <c r="A998" s="54" t="s">
        <v>459</v>
      </c>
      <c r="B998" s="37">
        <f>C998*1.04</f>
        <v>18.72</v>
      </c>
      <c r="C998" s="24">
        <v>18</v>
      </c>
      <c r="D998" s="420"/>
      <c r="E998" s="421"/>
      <c r="F998" s="38"/>
      <c r="G998" s="38"/>
      <c r="H998" s="104"/>
      <c r="I998" s="422"/>
      <c r="J998" s="10"/>
      <c r="K998" s="28" t="s">
        <v>28</v>
      </c>
      <c r="L998" s="82">
        <f>C1098+C1101</f>
        <v>125</v>
      </c>
      <c r="M998" s="80"/>
      <c r="N998" s="80"/>
      <c r="O998" s="80"/>
      <c r="P998" s="80"/>
      <c r="Q998" s="80"/>
      <c r="R998" s="80"/>
      <c r="S998" s="83"/>
      <c r="T998" s="83"/>
      <c r="U998" s="83"/>
    </row>
    <row r="999" spans="1:12" ht="30" customHeight="1">
      <c r="A999" s="171" t="s">
        <v>457</v>
      </c>
      <c r="B999" s="126">
        <f>C999*1.054</f>
        <v>14.756</v>
      </c>
      <c r="C999" s="23">
        <v>14</v>
      </c>
      <c r="D999" s="282"/>
      <c r="E999" s="440"/>
      <c r="F999" s="33"/>
      <c r="G999" s="33"/>
      <c r="H999" s="24"/>
      <c r="I999" s="441"/>
      <c r="J999" s="10"/>
      <c r="K999" s="30" t="s">
        <v>29</v>
      </c>
      <c r="L999" s="82">
        <f>C1069+C1106+B1044+B1059</f>
        <v>325</v>
      </c>
    </row>
    <row r="1000" spans="1:12" ht="30" customHeight="1">
      <c r="A1000" s="53" t="s">
        <v>147</v>
      </c>
      <c r="B1000" s="24">
        <f>C1000*1.25</f>
        <v>80</v>
      </c>
      <c r="C1000" s="26">
        <v>64</v>
      </c>
      <c r="D1000" s="234"/>
      <c r="E1000" s="32"/>
      <c r="F1000" s="32"/>
      <c r="G1000" s="32"/>
      <c r="H1000" s="45"/>
      <c r="I1000" s="21"/>
      <c r="J1000" s="10"/>
      <c r="K1000" s="72" t="s">
        <v>85</v>
      </c>
      <c r="L1000" s="82"/>
    </row>
    <row r="1001" spans="1:12" ht="30" customHeight="1">
      <c r="A1001" s="115" t="s">
        <v>43</v>
      </c>
      <c r="B1001" s="26">
        <f>C1001*1.33</f>
        <v>85.34166666666668</v>
      </c>
      <c r="C1001" s="26">
        <v>64.16666666666667</v>
      </c>
      <c r="D1001" s="234"/>
      <c r="E1001" s="32"/>
      <c r="F1001" s="32"/>
      <c r="G1001" s="32"/>
      <c r="H1001" s="45"/>
      <c r="I1001" s="21"/>
      <c r="J1001" s="10"/>
      <c r="K1001" s="27" t="s">
        <v>30</v>
      </c>
      <c r="L1001" s="82"/>
    </row>
    <row r="1002" spans="1:27" s="40" customFormat="1" ht="30" customHeight="1">
      <c r="A1002" s="115" t="s">
        <v>47</v>
      </c>
      <c r="B1002" s="24">
        <f>C1002*1.33</f>
        <v>57.190000000000005</v>
      </c>
      <c r="C1002" s="26">
        <v>43</v>
      </c>
      <c r="D1002" s="234"/>
      <c r="E1002" s="32"/>
      <c r="F1002" s="32"/>
      <c r="G1002" s="32"/>
      <c r="H1002" s="45"/>
      <c r="I1002" s="21"/>
      <c r="J1002" s="10"/>
      <c r="K1002" s="27" t="s">
        <v>31</v>
      </c>
      <c r="L1002" s="82">
        <f>C1096</f>
        <v>5</v>
      </c>
      <c r="M1002" s="80"/>
      <c r="N1002" s="80"/>
      <c r="O1002" s="80"/>
      <c r="P1002" s="80"/>
      <c r="Q1002" s="80"/>
      <c r="R1002" s="80"/>
      <c r="S1002" s="80"/>
      <c r="T1002" s="80"/>
      <c r="U1002" s="80"/>
      <c r="V1002" s="80"/>
      <c r="W1002" s="80"/>
      <c r="X1002" s="80"/>
      <c r="Y1002" s="80"/>
      <c r="Z1002" s="80"/>
      <c r="AA1002" s="80"/>
    </row>
    <row r="1003" spans="1:12" ht="30" customHeight="1">
      <c r="A1003" s="115" t="s">
        <v>48</v>
      </c>
      <c r="B1003" s="24">
        <f>C1003*1.43</f>
        <v>61.489999999999995</v>
      </c>
      <c r="C1003" s="26">
        <v>43</v>
      </c>
      <c r="D1003" s="234"/>
      <c r="E1003" s="32"/>
      <c r="F1003" s="32"/>
      <c r="G1003" s="32"/>
      <c r="H1003" s="45"/>
      <c r="I1003" s="21"/>
      <c r="J1003" s="10"/>
      <c r="K1003" s="28" t="s">
        <v>68</v>
      </c>
      <c r="L1003" s="82"/>
    </row>
    <row r="1004" spans="1:12" ht="30" customHeight="1">
      <c r="A1004" s="20" t="s">
        <v>49</v>
      </c>
      <c r="B1004" s="24">
        <f>C1004*1.54</f>
        <v>66.22</v>
      </c>
      <c r="C1004" s="26">
        <v>43</v>
      </c>
      <c r="D1004" s="234"/>
      <c r="E1004" s="32"/>
      <c r="F1004" s="32"/>
      <c r="G1004" s="32"/>
      <c r="H1004" s="45"/>
      <c r="I1004" s="21"/>
      <c r="J1004" s="10"/>
      <c r="K1004" s="27" t="s">
        <v>32</v>
      </c>
      <c r="L1004" s="81">
        <f>C1130+B1095+B1045+B1058</f>
        <v>21</v>
      </c>
    </row>
    <row r="1005" spans="1:12" ht="30" customHeight="1">
      <c r="A1005" s="20" t="s">
        <v>50</v>
      </c>
      <c r="B1005" s="24">
        <f>C1005*1.67</f>
        <v>71.81</v>
      </c>
      <c r="C1005" s="26">
        <v>43</v>
      </c>
      <c r="D1005" s="234"/>
      <c r="E1005" s="32"/>
      <c r="F1005" s="32"/>
      <c r="G1005" s="32"/>
      <c r="H1005" s="45"/>
      <c r="I1005" s="21"/>
      <c r="J1005" s="10"/>
      <c r="K1005" s="27" t="s">
        <v>23</v>
      </c>
      <c r="L1005" s="82">
        <f>C1110++B1066</f>
        <v>7.2</v>
      </c>
    </row>
    <row r="1006" spans="1:12" ht="30" customHeight="1">
      <c r="A1006" s="115" t="s">
        <v>112</v>
      </c>
      <c r="B1006" s="43">
        <f>C1006*1.25</f>
        <v>12.5</v>
      </c>
      <c r="C1006" s="26">
        <v>10</v>
      </c>
      <c r="D1006" s="234"/>
      <c r="E1006" s="32"/>
      <c r="F1006" s="32"/>
      <c r="G1006" s="32"/>
      <c r="H1006" s="45"/>
      <c r="I1006" s="21"/>
      <c r="J1006" s="10"/>
      <c r="K1006" s="28" t="s">
        <v>33</v>
      </c>
      <c r="L1006" s="82">
        <f>B1060+B1061+C1107</f>
        <v>15.5</v>
      </c>
    </row>
    <row r="1007" spans="1:27" ht="30" customHeight="1">
      <c r="A1007" s="115" t="s">
        <v>43</v>
      </c>
      <c r="B1007" s="43">
        <f>C1007*1.33</f>
        <v>13.3</v>
      </c>
      <c r="C1007" s="26">
        <v>10</v>
      </c>
      <c r="D1007" s="234"/>
      <c r="E1007" s="32"/>
      <c r="F1007" s="32"/>
      <c r="G1007" s="32"/>
      <c r="H1007" s="45"/>
      <c r="I1007" s="21"/>
      <c r="J1007" s="9"/>
      <c r="K1007" s="28" t="s">
        <v>78</v>
      </c>
      <c r="L1007" s="82">
        <f>B1062</f>
        <v>1</v>
      </c>
      <c r="V1007" s="95"/>
      <c r="W1007" s="95"/>
      <c r="X1007" s="95"/>
      <c r="Y1007" s="95"/>
      <c r="Z1007" s="95"/>
      <c r="AA1007" s="95"/>
    </row>
    <row r="1008" spans="1:11" ht="30" customHeight="1">
      <c r="A1008" s="20" t="s">
        <v>51</v>
      </c>
      <c r="B1008" s="26">
        <f>C1008*1.19</f>
        <v>12.891666666666667</v>
      </c>
      <c r="C1008" s="24">
        <v>10.833333333333334</v>
      </c>
      <c r="D1008" s="234"/>
      <c r="E1008" s="32"/>
      <c r="F1008" s="32"/>
      <c r="G1008" s="32"/>
      <c r="H1008" s="45"/>
      <c r="I1008" s="21"/>
      <c r="J1008" s="10"/>
      <c r="K1008" s="264" t="s">
        <v>193</v>
      </c>
    </row>
    <row r="1009" spans="1:10" ht="30" customHeight="1">
      <c r="A1009" s="89" t="s">
        <v>83</v>
      </c>
      <c r="B1009" s="24">
        <v>3</v>
      </c>
      <c r="C1009" s="24">
        <v>3.3333333333333335</v>
      </c>
      <c r="D1009" s="234"/>
      <c r="E1009" s="32"/>
      <c r="F1009" s="32"/>
      <c r="G1009" s="32"/>
      <c r="H1009" s="45"/>
      <c r="I1009" s="21"/>
      <c r="J1009" s="10"/>
    </row>
    <row r="1010" spans="1:13" ht="30" customHeight="1">
      <c r="A1010" s="89" t="s">
        <v>70</v>
      </c>
      <c r="B1010" s="64">
        <v>5</v>
      </c>
      <c r="C1010" s="61">
        <v>5</v>
      </c>
      <c r="D1010" s="58"/>
      <c r="E1010" s="38"/>
      <c r="F1010" s="38"/>
      <c r="G1010" s="38"/>
      <c r="H1010" s="57"/>
      <c r="I1010" s="309"/>
      <c r="J1010" s="10"/>
      <c r="M1010" s="40"/>
    </row>
    <row r="1011" spans="1:13" ht="30" customHeight="1">
      <c r="A1011" s="20" t="s">
        <v>39</v>
      </c>
      <c r="B1011" s="269">
        <v>0.6</v>
      </c>
      <c r="C1011" s="269">
        <v>0.6</v>
      </c>
      <c r="D1011" s="234"/>
      <c r="E1011" s="32"/>
      <c r="F1011" s="32"/>
      <c r="G1011" s="32"/>
      <c r="H1011" s="45"/>
      <c r="I1011" s="21"/>
      <c r="J1011" s="10"/>
      <c r="M1011" s="40"/>
    </row>
    <row r="1012" spans="1:21" ht="30" customHeight="1">
      <c r="A1012" s="115" t="s">
        <v>52</v>
      </c>
      <c r="B1012" s="33">
        <v>5</v>
      </c>
      <c r="C1012" s="33">
        <v>5</v>
      </c>
      <c r="D1012" s="234"/>
      <c r="E1012" s="32"/>
      <c r="F1012" s="32"/>
      <c r="G1012" s="32"/>
      <c r="H1012" s="45"/>
      <c r="I1012" s="21"/>
      <c r="J1012" s="10"/>
      <c r="S1012" s="83"/>
      <c r="T1012" s="83"/>
      <c r="U1012" s="83"/>
    </row>
    <row r="1013" spans="1:10" ht="30" customHeight="1">
      <c r="A1013" s="671" t="s">
        <v>581</v>
      </c>
      <c r="B1013" s="671"/>
      <c r="C1013" s="671"/>
      <c r="D1013" s="1">
        <v>100</v>
      </c>
      <c r="E1013" s="2">
        <v>14.8</v>
      </c>
      <c r="F1013" s="2">
        <v>12.7</v>
      </c>
      <c r="G1013" s="2">
        <v>12</v>
      </c>
      <c r="H1013" s="3">
        <f>E1013*4+F1013*9+G1013*4</f>
        <v>221.5</v>
      </c>
      <c r="I1013" s="294" t="s">
        <v>222</v>
      </c>
      <c r="J1013" s="10"/>
    </row>
    <row r="1014" spans="1:10" ht="30" customHeight="1">
      <c r="A1014" s="132" t="s">
        <v>328</v>
      </c>
      <c r="B1014" s="37">
        <f>C1014*1.17</f>
        <v>43.29</v>
      </c>
      <c r="C1014" s="57">
        <v>37</v>
      </c>
      <c r="D1014" s="1"/>
      <c r="E1014" s="2"/>
      <c r="F1014" s="2"/>
      <c r="G1014" s="2"/>
      <c r="H1014" s="3"/>
      <c r="I1014" s="294"/>
      <c r="J1014" s="10"/>
    </row>
    <row r="1015" spans="1:10" ht="30" customHeight="1">
      <c r="A1015" s="132" t="s">
        <v>45</v>
      </c>
      <c r="B1015" s="37">
        <f>C1015*1.36</f>
        <v>50.32</v>
      </c>
      <c r="C1015" s="57">
        <v>37</v>
      </c>
      <c r="D1015" s="22"/>
      <c r="E1015" s="43"/>
      <c r="F1015" s="43"/>
      <c r="G1015" s="43"/>
      <c r="H1015" s="26"/>
      <c r="I1015" s="43"/>
      <c r="J1015" s="10"/>
    </row>
    <row r="1016" spans="1:10" ht="30" customHeight="1">
      <c r="A1016" s="132" t="s">
        <v>46</v>
      </c>
      <c r="B1016" s="37">
        <f>C1016*1.18</f>
        <v>43.66</v>
      </c>
      <c r="C1016" s="57">
        <v>37</v>
      </c>
      <c r="D1016" s="22"/>
      <c r="E1016" s="43"/>
      <c r="F1016" s="43"/>
      <c r="G1016" s="43"/>
      <c r="H1016" s="26"/>
      <c r="I1016" s="295"/>
      <c r="J1016" s="10"/>
    </row>
    <row r="1017" spans="1:10" ht="30" customHeight="1">
      <c r="A1017" s="147" t="s">
        <v>42</v>
      </c>
      <c r="B1017" s="23">
        <v>18</v>
      </c>
      <c r="C1017" s="23">
        <v>18</v>
      </c>
      <c r="D1017" s="22"/>
      <c r="E1017" s="43"/>
      <c r="F1017" s="43"/>
      <c r="G1017" s="43"/>
      <c r="H1017" s="26"/>
      <c r="I1017" s="295"/>
      <c r="J1017" s="10"/>
    </row>
    <row r="1018" spans="1:10" ht="30" customHeight="1">
      <c r="A1018" s="53" t="s">
        <v>326</v>
      </c>
      <c r="B1018" s="23">
        <v>12</v>
      </c>
      <c r="C1018" s="23">
        <v>12</v>
      </c>
      <c r="D1018" s="22"/>
      <c r="E1018" s="43"/>
      <c r="F1018" s="43"/>
      <c r="G1018" s="43"/>
      <c r="H1018" s="26"/>
      <c r="I1018" s="295"/>
      <c r="J1018" s="10"/>
    </row>
    <row r="1019" spans="1:10" ht="30" customHeight="1">
      <c r="A1019" s="101" t="s">
        <v>51</v>
      </c>
      <c r="B1019" s="437">
        <f>C1019*1.19</f>
        <v>9.52</v>
      </c>
      <c r="C1019" s="146">
        <v>8</v>
      </c>
      <c r="D1019" s="22"/>
      <c r="E1019" s="43"/>
      <c r="F1019" s="43"/>
      <c r="G1019" s="43"/>
      <c r="H1019" s="26"/>
      <c r="I1019" s="295"/>
      <c r="J1019" s="10"/>
    </row>
    <row r="1020" spans="1:13" ht="30" customHeight="1">
      <c r="A1020" s="25" t="s">
        <v>91</v>
      </c>
      <c r="B1020" s="57">
        <v>4</v>
      </c>
      <c r="C1020" s="57">
        <v>4</v>
      </c>
      <c r="D1020" s="22"/>
      <c r="E1020" s="50"/>
      <c r="F1020" s="43"/>
      <c r="G1020" s="43"/>
      <c r="H1020" s="26"/>
      <c r="I1020" s="295"/>
      <c r="J1020" s="10"/>
      <c r="M1020" s="40"/>
    </row>
    <row r="1021" spans="1:13" ht="30" customHeight="1">
      <c r="A1021" s="102" t="s">
        <v>327</v>
      </c>
      <c r="B1021" s="400">
        <v>10</v>
      </c>
      <c r="C1021" s="400">
        <v>10</v>
      </c>
      <c r="D1021" s="282"/>
      <c r="E1021" s="43"/>
      <c r="F1021" s="43"/>
      <c r="G1021" s="43"/>
      <c r="H1021" s="26"/>
      <c r="I1021" s="43"/>
      <c r="J1021" s="10"/>
      <c r="M1021" s="40"/>
    </row>
    <row r="1022" spans="1:10" ht="30" customHeight="1">
      <c r="A1022" s="101" t="s">
        <v>44</v>
      </c>
      <c r="B1022" s="64">
        <v>2</v>
      </c>
      <c r="C1022" s="146">
        <v>2</v>
      </c>
      <c r="D1022" s="22"/>
      <c r="E1022" s="43"/>
      <c r="F1022" s="43"/>
      <c r="G1022" s="43"/>
      <c r="H1022" s="26"/>
      <c r="I1022" s="295"/>
      <c r="J1022" s="10"/>
    </row>
    <row r="1023" spans="1:10" ht="30" customHeight="1">
      <c r="A1023" s="677" t="s">
        <v>230</v>
      </c>
      <c r="B1023" s="677"/>
      <c r="C1023" s="677"/>
      <c r="D1023" s="1">
        <v>180</v>
      </c>
      <c r="E1023" s="63">
        <v>3.9</v>
      </c>
      <c r="F1023" s="63">
        <v>5.9</v>
      </c>
      <c r="G1023" s="63">
        <v>26.7</v>
      </c>
      <c r="H1023" s="3">
        <f>E1023*4+F1023*9+G1023*4</f>
        <v>175.5</v>
      </c>
      <c r="I1023" s="294" t="s">
        <v>231</v>
      </c>
      <c r="J1023" s="10"/>
    </row>
    <row r="1024" spans="1:27" ht="30" customHeight="1">
      <c r="A1024" s="20" t="s">
        <v>47</v>
      </c>
      <c r="B1024" s="45">
        <f>C1024*1.33</f>
        <v>204.82000000000002</v>
      </c>
      <c r="C1024" s="23">
        <v>154</v>
      </c>
      <c r="D1024" s="22"/>
      <c r="E1024" s="43"/>
      <c r="F1024" s="43"/>
      <c r="G1024" s="43"/>
      <c r="H1024" s="26"/>
      <c r="I1024" s="304"/>
      <c r="J1024" s="10"/>
      <c r="M1024" s="87"/>
      <c r="V1024" s="83"/>
      <c r="W1024" s="83"/>
      <c r="X1024" s="83"/>
      <c r="Y1024" s="83"/>
      <c r="Z1024" s="83"/>
      <c r="AA1024" s="83"/>
    </row>
    <row r="1025" spans="1:13" ht="30" customHeight="1">
      <c r="A1025" s="53" t="s">
        <v>48</v>
      </c>
      <c r="B1025" s="45">
        <f>C1025*1.43</f>
        <v>220.22</v>
      </c>
      <c r="C1025" s="23">
        <v>154</v>
      </c>
      <c r="D1025" s="22"/>
      <c r="E1025" s="43"/>
      <c r="F1025" s="43"/>
      <c r="G1025" s="43"/>
      <c r="H1025" s="26"/>
      <c r="I1025" s="304"/>
      <c r="J1025" s="10"/>
      <c r="M1025" s="87"/>
    </row>
    <row r="1026" spans="1:13" ht="30" customHeight="1">
      <c r="A1026" s="20" t="s">
        <v>49</v>
      </c>
      <c r="B1026" s="45">
        <f>C1026*1.54</f>
        <v>237.16</v>
      </c>
      <c r="C1026" s="23">
        <v>154</v>
      </c>
      <c r="D1026" s="22"/>
      <c r="E1026" s="43"/>
      <c r="F1026" s="43"/>
      <c r="G1026" s="43"/>
      <c r="H1026" s="26"/>
      <c r="I1026" s="304"/>
      <c r="J1026" s="10"/>
      <c r="M1026" s="87"/>
    </row>
    <row r="1027" spans="1:13" ht="30" customHeight="1">
      <c r="A1027" s="20" t="s">
        <v>50</v>
      </c>
      <c r="B1027" s="45">
        <f>C1027*1.67</f>
        <v>257.18</v>
      </c>
      <c r="C1027" s="23">
        <v>154</v>
      </c>
      <c r="D1027" s="22"/>
      <c r="E1027" s="43"/>
      <c r="F1027" s="43"/>
      <c r="G1027" s="43"/>
      <c r="H1027" s="26"/>
      <c r="I1027" s="304"/>
      <c r="J1027" s="10"/>
      <c r="M1027" s="87"/>
    </row>
    <row r="1028" spans="1:13" ht="30" customHeight="1">
      <c r="A1028" s="53" t="s">
        <v>63</v>
      </c>
      <c r="B1028" s="23">
        <v>29</v>
      </c>
      <c r="C1028" s="23">
        <v>29</v>
      </c>
      <c r="D1028" s="22"/>
      <c r="E1028" s="43"/>
      <c r="F1028" s="43"/>
      <c r="G1028" s="43"/>
      <c r="H1028" s="26"/>
      <c r="I1028" s="304"/>
      <c r="J1028" s="10"/>
      <c r="M1028" s="87"/>
    </row>
    <row r="1029" spans="1:13" ht="30" customHeight="1">
      <c r="A1029" s="89" t="s">
        <v>40</v>
      </c>
      <c r="B1029" s="23">
        <v>7</v>
      </c>
      <c r="C1029" s="23">
        <v>7</v>
      </c>
      <c r="D1029" s="43"/>
      <c r="E1029" s="43"/>
      <c r="F1029" s="43"/>
      <c r="G1029" s="43"/>
      <c r="H1029" s="26"/>
      <c r="I1029" s="304"/>
      <c r="J1029" s="10"/>
      <c r="M1029" s="87"/>
    </row>
    <row r="1030" spans="1:13" ht="30" customHeight="1">
      <c r="A1030" s="278" t="s">
        <v>278</v>
      </c>
      <c r="B1030" s="1">
        <v>200</v>
      </c>
      <c r="C1030" s="1">
        <v>200</v>
      </c>
      <c r="D1030" s="1">
        <v>200</v>
      </c>
      <c r="E1030" s="2">
        <v>0.4</v>
      </c>
      <c r="F1030" s="2">
        <v>0</v>
      </c>
      <c r="G1030" s="2">
        <v>22</v>
      </c>
      <c r="H1030" s="3">
        <f>E1030*4+F1030*9+G1030*4</f>
        <v>89.6</v>
      </c>
      <c r="I1030" s="300" t="s">
        <v>279</v>
      </c>
      <c r="J1030" s="10"/>
      <c r="M1030" s="87"/>
    </row>
    <row r="1031" spans="1:13" ht="30" customHeight="1">
      <c r="A1031" s="674" t="s">
        <v>34</v>
      </c>
      <c r="B1031" s="674"/>
      <c r="C1031" s="674"/>
      <c r="D1031" s="1">
        <v>40</v>
      </c>
      <c r="E1031" s="2">
        <v>1.88</v>
      </c>
      <c r="F1031" s="2">
        <v>0.4</v>
      </c>
      <c r="G1031" s="2">
        <v>17.48</v>
      </c>
      <c r="H1031" s="3">
        <v>81.04</v>
      </c>
      <c r="I1031" s="294"/>
      <c r="J1031" s="10"/>
      <c r="M1031" s="87"/>
    </row>
    <row r="1032" spans="1:13" ht="30" customHeight="1">
      <c r="A1032" s="675" t="s">
        <v>145</v>
      </c>
      <c r="B1032" s="675"/>
      <c r="C1032" s="675"/>
      <c r="D1032" s="1">
        <v>40</v>
      </c>
      <c r="E1032" s="2"/>
      <c r="F1032" s="2"/>
      <c r="G1032" s="2"/>
      <c r="H1032" s="3"/>
      <c r="I1032" s="294"/>
      <c r="J1032" s="10"/>
      <c r="M1032" s="87"/>
    </row>
    <row r="1033" spans="1:18" ht="30" customHeight="1">
      <c r="A1033" s="674" t="s">
        <v>74</v>
      </c>
      <c r="B1033" s="674"/>
      <c r="C1033" s="674"/>
      <c r="D1033" s="3">
        <v>60</v>
      </c>
      <c r="E1033" s="2">
        <v>3</v>
      </c>
      <c r="F1033" s="2">
        <v>0.8400000000000001</v>
      </c>
      <c r="G1033" s="2">
        <v>24.299999999999997</v>
      </c>
      <c r="H1033" s="3">
        <v>116.76</v>
      </c>
      <c r="I1033" s="294"/>
      <c r="J1033" s="10"/>
      <c r="M1033" s="87"/>
      <c r="N1033" s="40"/>
      <c r="O1033" s="40"/>
      <c r="P1033" s="40"/>
      <c r="Q1033" s="40"/>
      <c r="R1033" s="40"/>
    </row>
    <row r="1034" spans="1:13" ht="30" customHeight="1">
      <c r="A1034" s="675" t="s">
        <v>72</v>
      </c>
      <c r="B1034" s="675"/>
      <c r="C1034" s="675"/>
      <c r="D1034" s="1">
        <v>60</v>
      </c>
      <c r="E1034" s="2"/>
      <c r="F1034" s="2"/>
      <c r="G1034" s="2"/>
      <c r="H1034" s="3"/>
      <c r="I1034" s="294"/>
      <c r="J1034" s="10"/>
      <c r="M1034" s="87"/>
    </row>
    <row r="1035" spans="1:27" s="83" customFormat="1" ht="30" customHeight="1">
      <c r="A1035" s="698" t="s">
        <v>202</v>
      </c>
      <c r="B1035" s="698"/>
      <c r="C1035" s="698"/>
      <c r="D1035" s="266"/>
      <c r="E1035" s="235">
        <f>E934+E967</f>
        <v>46.66</v>
      </c>
      <c r="F1035" s="235">
        <f>F934+F967</f>
        <v>43.99999999999999</v>
      </c>
      <c r="G1035" s="235">
        <f>G934+G967</f>
        <v>221.18</v>
      </c>
      <c r="H1035" s="267">
        <f>H934+H967</f>
        <v>1466.58</v>
      </c>
      <c r="I1035" s="302"/>
      <c r="J1035" s="10"/>
      <c r="M1035" s="87"/>
      <c r="N1035" s="80"/>
      <c r="O1035" s="80"/>
      <c r="P1035" s="80"/>
      <c r="Q1035" s="80"/>
      <c r="R1035" s="80"/>
      <c r="S1035" s="80"/>
      <c r="T1035" s="80"/>
      <c r="U1035" s="80"/>
      <c r="V1035" s="80"/>
      <c r="W1035" s="80"/>
      <c r="X1035" s="80"/>
      <c r="Y1035" s="80"/>
      <c r="Z1035" s="80"/>
      <c r="AA1035" s="80"/>
    </row>
    <row r="1036" spans="1:13" ht="30" customHeight="1">
      <c r="A1036" s="707" t="s">
        <v>124</v>
      </c>
      <c r="B1036" s="707"/>
      <c r="C1036" s="707"/>
      <c r="D1036" s="707"/>
      <c r="E1036" s="707"/>
      <c r="F1036" s="707"/>
      <c r="G1036" s="707"/>
      <c r="H1036" s="707"/>
      <c r="I1036" s="707"/>
      <c r="J1036" s="10"/>
      <c r="M1036" s="87"/>
    </row>
    <row r="1037" spans="1:13" ht="30" customHeight="1">
      <c r="A1037" s="693" t="s">
        <v>1</v>
      </c>
      <c r="B1037" s="676" t="s">
        <v>2</v>
      </c>
      <c r="C1037" s="676" t="s">
        <v>3</v>
      </c>
      <c r="D1037" s="676" t="s">
        <v>4</v>
      </c>
      <c r="E1037" s="676"/>
      <c r="F1037" s="676"/>
      <c r="G1037" s="676"/>
      <c r="H1037" s="676"/>
      <c r="I1037" s="682" t="s">
        <v>201</v>
      </c>
      <c r="J1037" s="10"/>
      <c r="M1037" s="87"/>
    </row>
    <row r="1038" spans="1:13" ht="30" customHeight="1">
      <c r="A1038" s="693"/>
      <c r="B1038" s="676"/>
      <c r="C1038" s="676"/>
      <c r="D1038" s="6" t="s">
        <v>5</v>
      </c>
      <c r="E1038" s="62" t="s">
        <v>6</v>
      </c>
      <c r="F1038" s="62" t="s">
        <v>7</v>
      </c>
      <c r="G1038" s="62" t="s">
        <v>8</v>
      </c>
      <c r="H1038" s="69" t="s">
        <v>9</v>
      </c>
      <c r="I1038" s="682"/>
      <c r="J1038" s="10"/>
      <c r="M1038" s="87"/>
    </row>
    <row r="1039" spans="1:27" s="40" customFormat="1" ht="30" customHeight="1">
      <c r="A1039" s="709" t="s">
        <v>10</v>
      </c>
      <c r="B1039" s="709"/>
      <c r="C1039" s="709"/>
      <c r="D1039" s="316">
        <f>205+D1053+D1067+D1071</f>
        <v>595</v>
      </c>
      <c r="E1039" s="227">
        <f>E1040+E1053+E1067+E1071+E1072</f>
        <v>17.1</v>
      </c>
      <c r="F1039" s="227">
        <f>F1040+F1053+F1067+F1071+F1072</f>
        <v>17.78</v>
      </c>
      <c r="G1039" s="227">
        <f>G1040+G1053+G1067+G1071+G1072</f>
        <v>98.5</v>
      </c>
      <c r="H1039" s="513">
        <f>H1040+H1053+H1067+H1071+H1072</f>
        <v>622.42</v>
      </c>
      <c r="I1039" s="303"/>
      <c r="J1039" s="39"/>
      <c r="K1039" s="80"/>
      <c r="L1039" s="80"/>
      <c r="M1039" s="87"/>
      <c r="N1039" s="80"/>
      <c r="O1039" s="80"/>
      <c r="P1039" s="80"/>
      <c r="Q1039" s="80"/>
      <c r="R1039" s="80"/>
      <c r="S1039" s="80"/>
      <c r="T1039" s="80"/>
      <c r="U1039" s="80"/>
      <c r="V1039" s="80"/>
      <c r="W1039" s="80"/>
      <c r="X1039" s="80"/>
      <c r="Y1039" s="80"/>
      <c r="Z1039" s="80"/>
      <c r="AA1039" s="80"/>
    </row>
    <row r="1040" spans="1:13" ht="30" customHeight="1">
      <c r="A1040" s="691" t="s">
        <v>450</v>
      </c>
      <c r="B1040" s="691"/>
      <c r="C1040" s="691"/>
      <c r="D1040" s="244" t="s">
        <v>93</v>
      </c>
      <c r="E1040" s="21">
        <v>8.8</v>
      </c>
      <c r="F1040" s="21">
        <v>9.7</v>
      </c>
      <c r="G1040" s="21">
        <v>26.7</v>
      </c>
      <c r="H1040" s="238">
        <f>G1040*4+F1040*9+E1040*4</f>
        <v>229.3</v>
      </c>
      <c r="I1040" s="302" t="s">
        <v>277</v>
      </c>
      <c r="J1040" s="10"/>
      <c r="M1040" s="87"/>
    </row>
    <row r="1041" spans="1:13" ht="30" customHeight="1">
      <c r="A1041" s="115" t="s">
        <v>370</v>
      </c>
      <c r="B1041" s="52">
        <v>40</v>
      </c>
      <c r="C1041" s="52">
        <v>40</v>
      </c>
      <c r="D1041" s="453"/>
      <c r="E1041" s="38"/>
      <c r="F1041" s="38"/>
      <c r="G1041" s="38"/>
      <c r="H1041" s="57"/>
      <c r="I1041" s="38"/>
      <c r="J1041" s="10"/>
      <c r="M1041" s="87"/>
    </row>
    <row r="1042" spans="1:13" ht="30" customHeight="1">
      <c r="A1042" s="20" t="s">
        <v>219</v>
      </c>
      <c r="B1042" s="56">
        <v>0.8</v>
      </c>
      <c r="C1042" s="56">
        <v>0.8</v>
      </c>
      <c r="D1042" s="453"/>
      <c r="E1042" s="38"/>
      <c r="F1042" s="38"/>
      <c r="G1042" s="38"/>
      <c r="H1042" s="57"/>
      <c r="I1042" s="38"/>
      <c r="J1042" s="10"/>
      <c r="M1042" s="87"/>
    </row>
    <row r="1043" spans="1:13" ht="30" customHeight="1">
      <c r="A1043" s="20" t="s">
        <v>39</v>
      </c>
      <c r="B1043" s="52">
        <v>3</v>
      </c>
      <c r="C1043" s="52">
        <v>3</v>
      </c>
      <c r="D1043" s="453"/>
      <c r="E1043" s="38"/>
      <c r="F1043" s="38"/>
      <c r="G1043" s="38"/>
      <c r="H1043" s="57"/>
      <c r="I1043" s="38"/>
      <c r="J1043" s="10"/>
      <c r="M1043" s="87"/>
    </row>
    <row r="1044" spans="1:13" ht="30" customHeight="1">
      <c r="A1044" s="20" t="s">
        <v>63</v>
      </c>
      <c r="B1044" s="52">
        <v>168</v>
      </c>
      <c r="C1044" s="52">
        <v>168</v>
      </c>
      <c r="D1044" s="453"/>
      <c r="E1044" s="38"/>
      <c r="F1044" s="38"/>
      <c r="G1044" s="38"/>
      <c r="H1044" s="57"/>
      <c r="I1044" s="38"/>
      <c r="J1044" s="10"/>
      <c r="K1044" s="87"/>
      <c r="L1044" s="87"/>
      <c r="M1044" s="87"/>
    </row>
    <row r="1045" spans="1:13" ht="30" customHeight="1">
      <c r="A1045" s="167" t="s">
        <v>70</v>
      </c>
      <c r="B1045" s="453">
        <v>5</v>
      </c>
      <c r="C1045" s="453">
        <v>5</v>
      </c>
      <c r="D1045" s="453"/>
      <c r="E1045" s="38"/>
      <c r="F1045" s="38"/>
      <c r="G1045" s="38"/>
      <c r="H1045" s="57"/>
      <c r="I1045" s="38"/>
      <c r="J1045" s="10"/>
      <c r="K1045" s="151"/>
      <c r="L1045" s="87"/>
      <c r="M1045" s="87"/>
    </row>
    <row r="1046" spans="1:13" ht="30" customHeight="1">
      <c r="A1046" s="692" t="s">
        <v>95</v>
      </c>
      <c r="B1046" s="692"/>
      <c r="C1046" s="692"/>
      <c r="D1046" s="692"/>
      <c r="E1046" s="692"/>
      <c r="F1046" s="692"/>
      <c r="G1046" s="692"/>
      <c r="H1046" s="692"/>
      <c r="I1046" s="692"/>
      <c r="J1046" s="10"/>
      <c r="K1046" s="151"/>
      <c r="L1046" s="88"/>
      <c r="M1046" s="87"/>
    </row>
    <row r="1047" spans="1:13" ht="30" customHeight="1">
      <c r="A1047" s="691" t="s">
        <v>448</v>
      </c>
      <c r="B1047" s="691"/>
      <c r="C1047" s="691"/>
      <c r="D1047" s="244" t="s">
        <v>93</v>
      </c>
      <c r="E1047" s="21">
        <v>7.2</v>
      </c>
      <c r="F1047" s="21">
        <v>9.1</v>
      </c>
      <c r="G1047" s="21">
        <v>25.2</v>
      </c>
      <c r="H1047" s="238">
        <f>G1047*4+F1047*9+E1047*4</f>
        <v>211.5</v>
      </c>
      <c r="I1047" s="302" t="s">
        <v>277</v>
      </c>
      <c r="J1047" s="14"/>
      <c r="K1047" s="151"/>
      <c r="L1047" s="88"/>
      <c r="M1047" s="87"/>
    </row>
    <row r="1048" spans="1:27" s="83" customFormat="1" ht="30" customHeight="1">
      <c r="A1048" s="115" t="s">
        <v>407</v>
      </c>
      <c r="B1048" s="52">
        <v>40</v>
      </c>
      <c r="C1048" s="52">
        <v>40</v>
      </c>
      <c r="D1048" s="453"/>
      <c r="E1048" s="38"/>
      <c r="F1048" s="38"/>
      <c r="G1048" s="38"/>
      <c r="H1048" s="57"/>
      <c r="I1048" s="38"/>
      <c r="J1048" s="14"/>
      <c r="K1048" s="152"/>
      <c r="L1048" s="88"/>
      <c r="M1048" s="87"/>
      <c r="N1048" s="80"/>
      <c r="O1048" s="80"/>
      <c r="P1048" s="80"/>
      <c r="Q1048" s="80"/>
      <c r="R1048" s="80"/>
      <c r="S1048" s="80"/>
      <c r="T1048" s="80"/>
      <c r="U1048" s="80"/>
      <c r="V1048" s="80"/>
      <c r="W1048" s="80"/>
      <c r="X1048" s="80"/>
      <c r="Y1048" s="80"/>
      <c r="Z1048" s="80"/>
      <c r="AA1048" s="80"/>
    </row>
    <row r="1049" spans="1:13" ht="30" customHeight="1">
      <c r="A1049" s="20" t="s">
        <v>39</v>
      </c>
      <c r="B1049" s="52">
        <v>3</v>
      </c>
      <c r="C1049" s="52">
        <v>3</v>
      </c>
      <c r="D1049" s="453"/>
      <c r="E1049" s="38"/>
      <c r="F1049" s="38"/>
      <c r="G1049" s="38"/>
      <c r="H1049" s="57"/>
      <c r="I1049" s="38"/>
      <c r="J1049" s="14"/>
      <c r="K1049" s="152"/>
      <c r="L1049" s="88"/>
      <c r="M1049" s="87"/>
    </row>
    <row r="1050" spans="1:13" ht="30" customHeight="1">
      <c r="A1050" s="20" t="s">
        <v>219</v>
      </c>
      <c r="B1050" s="56">
        <v>0.8</v>
      </c>
      <c r="C1050" s="56">
        <v>0.8</v>
      </c>
      <c r="D1050" s="453"/>
      <c r="E1050" s="38"/>
      <c r="F1050" s="38"/>
      <c r="G1050" s="38"/>
      <c r="H1050" s="57"/>
      <c r="I1050" s="38"/>
      <c r="J1050" s="14"/>
      <c r="K1050" s="151"/>
      <c r="L1050" s="88"/>
      <c r="M1050" s="87"/>
    </row>
    <row r="1051" spans="1:13" ht="30" customHeight="1">
      <c r="A1051" s="20" t="s">
        <v>63</v>
      </c>
      <c r="B1051" s="52">
        <v>168</v>
      </c>
      <c r="C1051" s="52">
        <v>168</v>
      </c>
      <c r="D1051" s="453"/>
      <c r="E1051" s="38"/>
      <c r="F1051" s="38"/>
      <c r="G1051" s="38"/>
      <c r="H1051" s="57"/>
      <c r="I1051" s="38"/>
      <c r="J1051" s="14"/>
      <c r="K1051" s="151"/>
      <c r="L1051" s="88"/>
      <c r="M1051" s="87"/>
    </row>
    <row r="1052" spans="1:13" ht="30" customHeight="1">
      <c r="A1052" s="167" t="s">
        <v>70</v>
      </c>
      <c r="B1052" s="453">
        <v>5</v>
      </c>
      <c r="C1052" s="453">
        <v>5</v>
      </c>
      <c r="D1052" s="453"/>
      <c r="E1052" s="38"/>
      <c r="F1052" s="38"/>
      <c r="G1052" s="38"/>
      <c r="H1052" s="57"/>
      <c r="I1052" s="38"/>
      <c r="J1052" s="14"/>
      <c r="K1052" s="151"/>
      <c r="L1052" s="88"/>
      <c r="M1052" s="87"/>
    </row>
    <row r="1053" spans="1:13" ht="30" customHeight="1">
      <c r="A1053" s="406" t="s">
        <v>364</v>
      </c>
      <c r="B1053" s="406"/>
      <c r="C1053" s="406"/>
      <c r="D1053" s="238">
        <v>60</v>
      </c>
      <c r="E1053" s="21">
        <v>3.3</v>
      </c>
      <c r="F1053" s="21">
        <v>4.1</v>
      </c>
      <c r="G1053" s="21">
        <v>22.6</v>
      </c>
      <c r="H1053" s="238">
        <f>E1053*4+F1053*9+G1053*4</f>
        <v>140.5</v>
      </c>
      <c r="I1053" s="302" t="s">
        <v>365</v>
      </c>
      <c r="J1053" s="14"/>
      <c r="K1053" s="151"/>
      <c r="L1053" s="87"/>
      <c r="M1053" s="87"/>
    </row>
    <row r="1054" spans="1:13" ht="30" customHeight="1">
      <c r="A1054" s="25" t="s">
        <v>54</v>
      </c>
      <c r="B1054" s="26">
        <v>34</v>
      </c>
      <c r="C1054" s="26">
        <v>34</v>
      </c>
      <c r="D1054" s="450"/>
      <c r="E1054" s="451"/>
      <c r="F1054" s="451"/>
      <c r="G1054" s="451"/>
      <c r="H1054" s="452"/>
      <c r="I1054" s="423"/>
      <c r="J1054" s="14"/>
      <c r="K1054" s="151"/>
      <c r="L1054" s="87"/>
      <c r="M1054" s="87"/>
    </row>
    <row r="1055" spans="1:13" ht="30" customHeight="1">
      <c r="A1055" s="115" t="s">
        <v>294</v>
      </c>
      <c r="B1055" s="24">
        <v>1</v>
      </c>
      <c r="C1055" s="45">
        <v>1</v>
      </c>
      <c r="D1055" s="450"/>
      <c r="E1055" s="451"/>
      <c r="F1055" s="451"/>
      <c r="G1055" s="451"/>
      <c r="H1055" s="452"/>
      <c r="I1055" s="423"/>
      <c r="J1055" s="14"/>
      <c r="K1055" s="151"/>
      <c r="L1055" s="87"/>
      <c r="M1055" s="87"/>
    </row>
    <row r="1056" spans="1:13" ht="30" customHeight="1">
      <c r="A1056" s="115" t="s">
        <v>39</v>
      </c>
      <c r="B1056" s="24">
        <v>10</v>
      </c>
      <c r="C1056" s="45">
        <v>10</v>
      </c>
      <c r="D1056" s="450"/>
      <c r="E1056" s="451"/>
      <c r="F1056" s="451"/>
      <c r="G1056" s="451"/>
      <c r="H1056" s="452"/>
      <c r="I1056" s="423"/>
      <c r="J1056" s="14"/>
      <c r="K1056" s="151"/>
      <c r="L1056" s="88"/>
      <c r="M1056" s="87"/>
    </row>
    <row r="1057" spans="1:13" ht="30" customHeight="1">
      <c r="A1057" s="25" t="s">
        <v>366</v>
      </c>
      <c r="B1057" s="26">
        <v>2</v>
      </c>
      <c r="C1057" s="26">
        <v>2</v>
      </c>
      <c r="D1057" s="450"/>
      <c r="E1057" s="451"/>
      <c r="F1057" s="451"/>
      <c r="G1057" s="451"/>
      <c r="H1057" s="452"/>
      <c r="I1057" s="423"/>
      <c r="J1057" s="14"/>
      <c r="K1057" s="151"/>
      <c r="L1057" s="87"/>
      <c r="M1057" s="87"/>
    </row>
    <row r="1058" spans="1:13" ht="30" customHeight="1">
      <c r="A1058" s="25" t="s">
        <v>70</v>
      </c>
      <c r="B1058" s="26">
        <v>5</v>
      </c>
      <c r="C1058" s="26">
        <v>5</v>
      </c>
      <c r="D1058" s="450"/>
      <c r="E1058" s="451"/>
      <c r="F1058" s="451"/>
      <c r="G1058" s="451"/>
      <c r="H1058" s="452"/>
      <c r="I1058" s="423"/>
      <c r="J1058" s="14"/>
      <c r="K1058" s="151"/>
      <c r="L1058" s="87"/>
      <c r="M1058" s="87"/>
    </row>
    <row r="1059" spans="1:13" ht="30" customHeight="1">
      <c r="A1059" s="25" t="s">
        <v>63</v>
      </c>
      <c r="B1059" s="26">
        <v>5</v>
      </c>
      <c r="C1059" s="26">
        <v>5</v>
      </c>
      <c r="D1059" s="450"/>
      <c r="E1059" s="451"/>
      <c r="F1059" s="451"/>
      <c r="G1059" s="451"/>
      <c r="H1059" s="452"/>
      <c r="I1059" s="423"/>
      <c r="J1059" s="14"/>
      <c r="K1059" s="151"/>
      <c r="L1059" s="87"/>
      <c r="M1059" s="87"/>
    </row>
    <row r="1060" spans="1:13" ht="30" customHeight="1">
      <c r="A1060" s="25" t="s">
        <v>91</v>
      </c>
      <c r="B1060" s="26">
        <v>2</v>
      </c>
      <c r="C1060" s="26">
        <v>2</v>
      </c>
      <c r="D1060" s="450"/>
      <c r="E1060" s="451"/>
      <c r="F1060" s="451"/>
      <c r="G1060" s="451"/>
      <c r="H1060" s="452"/>
      <c r="I1060" s="423"/>
      <c r="J1060" s="14"/>
      <c r="K1060" s="151"/>
      <c r="L1060" s="153"/>
      <c r="M1060" s="87"/>
    </row>
    <row r="1061" spans="1:13" ht="30" customHeight="1">
      <c r="A1061" s="25" t="s">
        <v>354</v>
      </c>
      <c r="B1061" s="43">
        <v>1.5</v>
      </c>
      <c r="C1061" s="43">
        <v>1.5</v>
      </c>
      <c r="D1061" s="450"/>
      <c r="E1061" s="451"/>
      <c r="F1061" s="451"/>
      <c r="G1061" s="451"/>
      <c r="H1061" s="452"/>
      <c r="I1061" s="423"/>
      <c r="J1061" s="14"/>
      <c r="K1061" s="151"/>
      <c r="L1061" s="153"/>
      <c r="M1061" s="87"/>
    </row>
    <row r="1062" spans="1:21" ht="30" customHeight="1">
      <c r="A1062" s="25" t="s">
        <v>295</v>
      </c>
      <c r="B1062" s="26">
        <v>1</v>
      </c>
      <c r="C1062" s="26">
        <v>1</v>
      </c>
      <c r="D1062" s="450"/>
      <c r="E1062" s="451"/>
      <c r="F1062" s="451"/>
      <c r="G1062" s="451"/>
      <c r="H1062" s="452"/>
      <c r="I1062" s="423"/>
      <c r="J1062" s="14"/>
      <c r="M1062" s="87"/>
      <c r="S1062" s="95"/>
      <c r="T1062" s="95"/>
      <c r="U1062" s="95"/>
    </row>
    <row r="1063" spans="1:13" ht="30" customHeight="1">
      <c r="A1063" s="115" t="s">
        <v>451</v>
      </c>
      <c r="B1063" s="241">
        <f>B1062*0.25</f>
        <v>0.25</v>
      </c>
      <c r="C1063" s="241">
        <f>C1062*0.25</f>
        <v>0.25</v>
      </c>
      <c r="D1063" s="22"/>
      <c r="E1063" s="32"/>
      <c r="F1063" s="32"/>
      <c r="G1063" s="32"/>
      <c r="H1063" s="45"/>
      <c r="I1063" s="540"/>
      <c r="J1063" s="108"/>
      <c r="M1063" s="87"/>
    </row>
    <row r="1064" spans="1:13" ht="30" customHeight="1">
      <c r="A1064" s="25" t="s">
        <v>219</v>
      </c>
      <c r="B1064" s="43">
        <v>0.4</v>
      </c>
      <c r="C1064" s="43">
        <v>0.4</v>
      </c>
      <c r="D1064" s="450"/>
      <c r="E1064" s="451"/>
      <c r="F1064" s="451"/>
      <c r="G1064" s="451"/>
      <c r="H1064" s="452"/>
      <c r="I1064" s="423"/>
      <c r="J1064" s="94"/>
      <c r="M1064" s="87"/>
    </row>
    <row r="1065" spans="1:13" ht="30" customHeight="1">
      <c r="A1065" s="25" t="s">
        <v>82</v>
      </c>
      <c r="B1065" s="35">
        <v>0.02</v>
      </c>
      <c r="C1065" s="35">
        <v>0.02</v>
      </c>
      <c r="D1065" s="450"/>
      <c r="E1065" s="451"/>
      <c r="F1065" s="451"/>
      <c r="G1065" s="451"/>
      <c r="H1065" s="452"/>
      <c r="I1065" s="423"/>
      <c r="J1065" s="94"/>
      <c r="M1065" s="87"/>
    </row>
    <row r="1066" spans="1:13" ht="30" customHeight="1">
      <c r="A1066" s="25" t="s">
        <v>117</v>
      </c>
      <c r="B1066" s="43">
        <v>0.2</v>
      </c>
      <c r="C1066" s="43">
        <v>0.2</v>
      </c>
      <c r="D1066" s="450"/>
      <c r="E1066" s="451"/>
      <c r="F1066" s="451"/>
      <c r="G1066" s="451"/>
      <c r="H1066" s="452"/>
      <c r="I1066" s="423"/>
      <c r="J1066" s="14"/>
      <c r="M1066" s="87"/>
    </row>
    <row r="1067" spans="1:13" ht="30" customHeight="1">
      <c r="A1067" s="674" t="s">
        <v>261</v>
      </c>
      <c r="B1067" s="674"/>
      <c r="C1067" s="674"/>
      <c r="D1067" s="1">
        <v>200</v>
      </c>
      <c r="E1067" s="2">
        <v>3.4</v>
      </c>
      <c r="F1067" s="1">
        <v>3.2</v>
      </c>
      <c r="G1067" s="1">
        <v>21.2</v>
      </c>
      <c r="H1067" s="104">
        <f>E1067*4+F1067*9+G1067*4</f>
        <v>127.19999999999999</v>
      </c>
      <c r="I1067" s="294" t="s">
        <v>262</v>
      </c>
      <c r="J1067" s="14"/>
      <c r="M1067" s="87"/>
    </row>
    <row r="1068" spans="1:13" ht="30" customHeight="1">
      <c r="A1068" s="100" t="s">
        <v>69</v>
      </c>
      <c r="B1068" s="46">
        <v>5</v>
      </c>
      <c r="C1068" s="46">
        <v>5</v>
      </c>
      <c r="D1068" s="47"/>
      <c r="E1068" s="50"/>
      <c r="F1068" s="50"/>
      <c r="G1068" s="50"/>
      <c r="H1068" s="46"/>
      <c r="I1068" s="305"/>
      <c r="J1068" s="14"/>
      <c r="M1068" s="87"/>
    </row>
    <row r="1069" spans="1:13" ht="30" customHeight="1">
      <c r="A1069" s="59" t="s">
        <v>63</v>
      </c>
      <c r="B1069" s="58">
        <v>130</v>
      </c>
      <c r="C1069" s="58">
        <v>130</v>
      </c>
      <c r="D1069" s="22"/>
      <c r="E1069" s="22"/>
      <c r="F1069" s="22"/>
      <c r="G1069" s="22"/>
      <c r="H1069" s="26"/>
      <c r="I1069" s="295"/>
      <c r="J1069" s="109"/>
      <c r="M1069" s="87"/>
    </row>
    <row r="1070" spans="1:27" ht="30" customHeight="1">
      <c r="A1070" s="89" t="s">
        <v>39</v>
      </c>
      <c r="B1070" s="58">
        <v>15</v>
      </c>
      <c r="C1070" s="58">
        <v>15</v>
      </c>
      <c r="D1070" s="1"/>
      <c r="E1070" s="1"/>
      <c r="F1070" s="1"/>
      <c r="G1070" s="1"/>
      <c r="H1070" s="3"/>
      <c r="I1070" s="295"/>
      <c r="J1070" s="91"/>
      <c r="M1070" s="87"/>
      <c r="V1070" s="83"/>
      <c r="W1070" s="83"/>
      <c r="X1070" s="83"/>
      <c r="Y1070" s="83"/>
      <c r="Z1070" s="83"/>
      <c r="AA1070" s="83"/>
    </row>
    <row r="1071" spans="1:13" ht="30" customHeight="1">
      <c r="A1071" s="683" t="s">
        <v>239</v>
      </c>
      <c r="B1071" s="683"/>
      <c r="C1071" s="683"/>
      <c r="D1071" s="4">
        <v>130</v>
      </c>
      <c r="E1071" s="222">
        <v>0.6</v>
      </c>
      <c r="F1071" s="222">
        <v>0.5</v>
      </c>
      <c r="G1071" s="222">
        <v>19.9</v>
      </c>
      <c r="H1071" s="3">
        <f>G1071*4+F1071*9+E1071*4</f>
        <v>86.5</v>
      </c>
      <c r="I1071" s="294" t="s">
        <v>224</v>
      </c>
      <c r="J1071" s="91"/>
      <c r="M1071" s="87"/>
    </row>
    <row r="1072" spans="1:13" ht="30" customHeight="1">
      <c r="A1072" s="674" t="s">
        <v>74</v>
      </c>
      <c r="B1072" s="674"/>
      <c r="C1072" s="674"/>
      <c r="D1072" s="3">
        <v>20</v>
      </c>
      <c r="E1072" s="2">
        <v>1</v>
      </c>
      <c r="F1072" s="2">
        <v>0.28</v>
      </c>
      <c r="G1072" s="2">
        <v>8.1</v>
      </c>
      <c r="H1072" s="3">
        <f>E1072*4+F1072*9+G1072*4</f>
        <v>38.92</v>
      </c>
      <c r="I1072" s="294"/>
      <c r="J1072" s="15"/>
      <c r="M1072" s="87"/>
    </row>
    <row r="1073" spans="1:13" ht="30" customHeight="1">
      <c r="A1073" s="675" t="s">
        <v>72</v>
      </c>
      <c r="B1073" s="675"/>
      <c r="C1073" s="675"/>
      <c r="D1073" s="1">
        <v>20</v>
      </c>
      <c r="E1073" s="2"/>
      <c r="F1073" s="2"/>
      <c r="G1073" s="2"/>
      <c r="H1073" s="3"/>
      <c r="I1073" s="294"/>
      <c r="J1073" s="8"/>
      <c r="M1073" s="87"/>
    </row>
    <row r="1074" spans="1:27" s="40" customFormat="1" ht="30" customHeight="1">
      <c r="A1074" s="690" t="s">
        <v>205</v>
      </c>
      <c r="B1074" s="690"/>
      <c r="C1074" s="690"/>
      <c r="D1074" s="243">
        <f>D1075+265+D1097+D1123+D1132</f>
        <v>865</v>
      </c>
      <c r="E1074" s="71">
        <f>E1075+E1078+E1097+E1123+E1132+E1135+E1137</f>
        <v>37.254444444444445</v>
      </c>
      <c r="F1074" s="71">
        <f>F1075+F1078+F1097+F1123+F1132+F1135+F1137</f>
        <v>25.08</v>
      </c>
      <c r="G1074" s="71">
        <f>G1075+G1078+G1097+G1123+G1132+G1135+G1137</f>
        <v>131.94</v>
      </c>
      <c r="H1074" s="265">
        <f>H1075+H1078+H1097+H1123+H1132+H1135+H1137</f>
        <v>902.4977777777779</v>
      </c>
      <c r="I1074" s="293"/>
      <c r="J1074" s="8"/>
      <c r="M1074" s="87"/>
      <c r="N1074" s="80"/>
      <c r="Q1074" s="80"/>
      <c r="R1074" s="80"/>
      <c r="S1074" s="80"/>
      <c r="T1074" s="80"/>
      <c r="U1074" s="80"/>
      <c r="V1074" s="80"/>
      <c r="W1074" s="80"/>
      <c r="X1074" s="80"/>
      <c r="Y1074" s="80"/>
      <c r="Z1074" s="80"/>
      <c r="AA1074" s="80"/>
    </row>
    <row r="1075" spans="1:27" s="40" customFormat="1" ht="30" customHeight="1">
      <c r="A1075" s="683" t="s">
        <v>610</v>
      </c>
      <c r="B1075" s="683"/>
      <c r="C1075" s="683"/>
      <c r="D1075" s="1">
        <v>100</v>
      </c>
      <c r="E1075" s="2">
        <v>0.7000000000000001</v>
      </c>
      <c r="F1075" s="2">
        <v>0.1</v>
      </c>
      <c r="G1075" s="2">
        <v>1.9</v>
      </c>
      <c r="H1075" s="238">
        <f>E1075*4+F1075*9+G1075*4</f>
        <v>11.3</v>
      </c>
      <c r="I1075" s="297" t="s">
        <v>232</v>
      </c>
      <c r="J1075" s="9"/>
      <c r="M1075" s="87"/>
      <c r="N1075" s="80"/>
      <c r="Q1075" s="83"/>
      <c r="R1075" s="83"/>
      <c r="S1075" s="83"/>
      <c r="T1075" s="83"/>
      <c r="U1075" s="83"/>
      <c r="V1075" s="80"/>
      <c r="W1075" s="80"/>
      <c r="X1075" s="80"/>
      <c r="Y1075" s="80"/>
      <c r="Z1075" s="80"/>
      <c r="AA1075" s="80"/>
    </row>
    <row r="1076" spans="1:13" ht="30" customHeight="1">
      <c r="A1076" s="59" t="s">
        <v>90</v>
      </c>
      <c r="B1076" s="45">
        <f>C1076*1.05</f>
        <v>105</v>
      </c>
      <c r="C1076" s="23">
        <v>100</v>
      </c>
      <c r="D1076" s="22"/>
      <c r="E1076" s="22"/>
      <c r="F1076" s="22"/>
      <c r="G1076" s="22"/>
      <c r="H1076" s="26"/>
      <c r="I1076" s="295"/>
      <c r="J1076" s="10"/>
      <c r="M1076" s="87"/>
    </row>
    <row r="1077" spans="1:13" ht="30" customHeight="1">
      <c r="A1077" s="59" t="s">
        <v>76</v>
      </c>
      <c r="B1077" s="45">
        <f>C1077*1.02</f>
        <v>102</v>
      </c>
      <c r="C1077" s="23">
        <v>100</v>
      </c>
      <c r="D1077" s="221"/>
      <c r="E1077" s="221"/>
      <c r="F1077" s="221"/>
      <c r="G1077" s="221"/>
      <c r="H1077" s="534"/>
      <c r="I1077" s="295"/>
      <c r="J1077" s="10"/>
      <c r="M1077" s="87"/>
    </row>
    <row r="1078" spans="1:13" ht="30" customHeight="1">
      <c r="A1078" s="671" t="s">
        <v>542</v>
      </c>
      <c r="B1078" s="717"/>
      <c r="C1078" s="717"/>
      <c r="D1078" s="1" t="s">
        <v>206</v>
      </c>
      <c r="E1078" s="222">
        <v>5.694444444444445</v>
      </c>
      <c r="F1078" s="222">
        <v>5.9</v>
      </c>
      <c r="G1078" s="222">
        <v>12.8</v>
      </c>
      <c r="H1078" s="3">
        <f>E1078*4+F1078*9+G1078*4</f>
        <v>127.07777777777778</v>
      </c>
      <c r="I1078" s="320" t="s">
        <v>543</v>
      </c>
      <c r="J1078" s="10"/>
      <c r="M1078" s="87"/>
    </row>
    <row r="1079" spans="1:13" ht="30" customHeight="1">
      <c r="A1079" s="54" t="s">
        <v>45</v>
      </c>
      <c r="B1079" s="37">
        <f>C1079*1.36</f>
        <v>21.76</v>
      </c>
      <c r="C1079" s="149">
        <v>16</v>
      </c>
      <c r="D1079" s="58"/>
      <c r="E1079" s="242"/>
      <c r="F1079" s="242"/>
      <c r="G1079" s="242"/>
      <c r="H1079" s="537"/>
      <c r="I1079" s="510"/>
      <c r="J1079" s="10"/>
      <c r="M1079" s="87"/>
    </row>
    <row r="1080" spans="1:13" ht="30" customHeight="1">
      <c r="A1080" s="132" t="s">
        <v>46</v>
      </c>
      <c r="B1080" s="37">
        <f>C1080*1.18</f>
        <v>18.88</v>
      </c>
      <c r="C1080" s="149">
        <v>16</v>
      </c>
      <c r="D1080" s="58"/>
      <c r="E1080" s="21"/>
      <c r="F1080" s="21"/>
      <c r="G1080" s="21"/>
      <c r="H1080" s="238"/>
      <c r="I1080" s="432"/>
      <c r="J1080" s="10"/>
      <c r="M1080" s="87"/>
    </row>
    <row r="1081" spans="1:13" ht="30" customHeight="1">
      <c r="A1081" s="692" t="s">
        <v>95</v>
      </c>
      <c r="B1081" s="692"/>
      <c r="C1081" s="692"/>
      <c r="D1081" s="692"/>
      <c r="E1081" s="692"/>
      <c r="F1081" s="692"/>
      <c r="G1081" s="692"/>
      <c r="H1081" s="692"/>
      <c r="I1081" s="692"/>
      <c r="J1081" s="10"/>
      <c r="M1081" s="87"/>
    </row>
    <row r="1082" spans="1:13" ht="30" customHeight="1">
      <c r="A1082" s="683" t="s">
        <v>464</v>
      </c>
      <c r="B1082" s="683"/>
      <c r="C1082" s="683"/>
      <c r="D1082" s="632" t="s">
        <v>206</v>
      </c>
      <c r="E1082" s="21">
        <v>5.9</v>
      </c>
      <c r="F1082" s="21">
        <v>6.3</v>
      </c>
      <c r="G1082" s="21">
        <v>12.8</v>
      </c>
      <c r="H1082" s="238">
        <f>E1082*4+F1082*9+G1082*4</f>
        <v>131.5</v>
      </c>
      <c r="I1082" s="302" t="s">
        <v>319</v>
      </c>
      <c r="J1082" s="9"/>
      <c r="M1082" s="87"/>
    </row>
    <row r="1083" spans="1:13" ht="30" customHeight="1">
      <c r="A1083" s="54" t="s">
        <v>460</v>
      </c>
      <c r="B1083" s="37">
        <v>29</v>
      </c>
      <c r="C1083" s="24">
        <v>26</v>
      </c>
      <c r="D1083" s="33"/>
      <c r="E1083" s="270"/>
      <c r="F1083" s="32"/>
      <c r="G1083" s="32"/>
      <c r="H1083" s="45"/>
      <c r="I1083" s="302"/>
      <c r="J1083" s="10"/>
      <c r="M1083" s="87"/>
    </row>
    <row r="1084" spans="1:27" s="95" customFormat="1" ht="30" customHeight="1">
      <c r="A1084" s="54" t="s">
        <v>459</v>
      </c>
      <c r="B1084" s="37">
        <f>C1084*1.04</f>
        <v>18.72</v>
      </c>
      <c r="C1084" s="24">
        <v>18</v>
      </c>
      <c r="D1084" s="420"/>
      <c r="E1084" s="421"/>
      <c r="F1084" s="38"/>
      <c r="G1084" s="38"/>
      <c r="H1084" s="104"/>
      <c r="I1084" s="422"/>
      <c r="J1084" s="10"/>
      <c r="M1084" s="87"/>
      <c r="N1084" s="80"/>
      <c r="Q1084" s="80"/>
      <c r="R1084" s="80"/>
      <c r="S1084" s="80"/>
      <c r="T1084" s="80"/>
      <c r="U1084" s="80"/>
      <c r="V1084" s="80"/>
      <c r="W1084" s="80"/>
      <c r="X1084" s="80"/>
      <c r="Y1084" s="80"/>
      <c r="Z1084" s="80"/>
      <c r="AA1084" s="80"/>
    </row>
    <row r="1085" spans="1:21" ht="30" customHeight="1">
      <c r="A1085" s="171" t="s">
        <v>457</v>
      </c>
      <c r="B1085" s="126">
        <f>C1085*1.054</f>
        <v>14.756</v>
      </c>
      <c r="C1085" s="23">
        <v>14</v>
      </c>
      <c r="D1085" s="282"/>
      <c r="E1085" s="440"/>
      <c r="F1085" s="33"/>
      <c r="G1085" s="33"/>
      <c r="H1085" s="24"/>
      <c r="I1085" s="441"/>
      <c r="J1085" s="10"/>
      <c r="M1085" s="87"/>
      <c r="S1085" s="83"/>
      <c r="T1085" s="83"/>
      <c r="U1085" s="83"/>
    </row>
    <row r="1086" spans="1:21" ht="30" customHeight="1">
      <c r="A1086" s="89" t="s">
        <v>47</v>
      </c>
      <c r="B1086" s="57">
        <f>C1086*1.33</f>
        <v>99.75</v>
      </c>
      <c r="C1086" s="23">
        <v>75</v>
      </c>
      <c r="D1086" s="1"/>
      <c r="E1086" s="2"/>
      <c r="F1086" s="2"/>
      <c r="G1086" s="2"/>
      <c r="H1086" s="3"/>
      <c r="I1086" s="514"/>
      <c r="J1086" s="10"/>
      <c r="L1086" s="680"/>
      <c r="M1086" s="680"/>
      <c r="N1086" s="680"/>
      <c r="O1086" s="66"/>
      <c r="P1086" s="236"/>
      <c r="Q1086" s="236"/>
      <c r="R1086" s="236"/>
      <c r="S1086" s="634"/>
      <c r="T1086" s="633"/>
      <c r="U1086" s="83"/>
    </row>
    <row r="1087" spans="1:27" ht="30" customHeight="1">
      <c r="A1087" s="89" t="s">
        <v>48</v>
      </c>
      <c r="B1087" s="57">
        <f>C1087*1.43</f>
        <v>107.25</v>
      </c>
      <c r="C1087" s="23">
        <v>75</v>
      </c>
      <c r="D1087" s="1"/>
      <c r="E1087" s="2"/>
      <c r="F1087" s="50"/>
      <c r="G1087" s="50"/>
      <c r="H1087" s="46"/>
      <c r="I1087" s="514"/>
      <c r="J1087" s="10"/>
      <c r="L1087" s="215"/>
      <c r="M1087" s="78"/>
      <c r="N1087" s="216"/>
      <c r="O1087" s="417"/>
      <c r="P1087" s="414"/>
      <c r="Q1087" s="414"/>
      <c r="R1087" s="414"/>
      <c r="S1087" s="414"/>
      <c r="T1087" s="414"/>
      <c r="V1087" s="83"/>
      <c r="W1087" s="83"/>
      <c r="X1087" s="83"/>
      <c r="Y1087" s="83"/>
      <c r="Z1087" s="83"/>
      <c r="AA1087" s="83"/>
    </row>
    <row r="1088" spans="1:20" ht="30" customHeight="1">
      <c r="A1088" s="100" t="s">
        <v>49</v>
      </c>
      <c r="B1088" s="46">
        <f>C1088*1.54</f>
        <v>115.5</v>
      </c>
      <c r="C1088" s="23">
        <v>75</v>
      </c>
      <c r="D1088" s="1"/>
      <c r="E1088" s="2"/>
      <c r="F1088" s="50"/>
      <c r="G1088" s="50"/>
      <c r="H1088" s="46"/>
      <c r="I1088" s="514"/>
      <c r="J1088" s="10"/>
      <c r="L1088" s="215"/>
      <c r="M1088" s="78"/>
      <c r="N1088" s="216"/>
      <c r="O1088" s="417"/>
      <c r="P1088" s="414"/>
      <c r="Q1088" s="414"/>
      <c r="R1088" s="414"/>
      <c r="S1088" s="415"/>
      <c r="T1088" s="414"/>
    </row>
    <row r="1089" spans="1:20" ht="30" customHeight="1">
      <c r="A1089" s="100" t="s">
        <v>50</v>
      </c>
      <c r="B1089" s="46">
        <f>C1089*1.67</f>
        <v>125.25</v>
      </c>
      <c r="C1089" s="23">
        <v>75</v>
      </c>
      <c r="D1089" s="1"/>
      <c r="E1089" s="2"/>
      <c r="F1089" s="50"/>
      <c r="G1089" s="50"/>
      <c r="H1089" s="46"/>
      <c r="I1089" s="514"/>
      <c r="J1089" s="10"/>
      <c r="L1089" s="215"/>
      <c r="M1089" s="78"/>
      <c r="N1089" s="216"/>
      <c r="O1089" s="417"/>
      <c r="P1089" s="129"/>
      <c r="Q1089" s="129"/>
      <c r="R1089" s="658"/>
      <c r="S1089" s="659"/>
      <c r="T1089" s="416"/>
    </row>
    <row r="1090" spans="1:20" ht="30" customHeight="1">
      <c r="A1090" s="59" t="s">
        <v>55</v>
      </c>
      <c r="B1090" s="57">
        <f>C1090*1.25</f>
        <v>25</v>
      </c>
      <c r="C1090" s="58">
        <v>20</v>
      </c>
      <c r="D1090" s="1"/>
      <c r="E1090" s="2"/>
      <c r="F1090" s="50"/>
      <c r="G1090" s="50"/>
      <c r="H1090" s="46"/>
      <c r="I1090" s="514"/>
      <c r="J1090" s="10"/>
      <c r="L1090" s="215"/>
      <c r="M1090" s="78"/>
      <c r="N1090" s="216"/>
      <c r="O1090" s="417"/>
      <c r="P1090" s="129"/>
      <c r="Q1090" s="129"/>
      <c r="R1090" s="658"/>
      <c r="S1090" s="659"/>
      <c r="T1090" s="416"/>
    </row>
    <row r="1091" spans="1:20" ht="30" customHeight="1">
      <c r="A1091" s="53" t="s">
        <v>112</v>
      </c>
      <c r="B1091" s="38">
        <f>C1091*1.25</f>
        <v>12.5</v>
      </c>
      <c r="C1091" s="23">
        <v>10</v>
      </c>
      <c r="D1091" s="1"/>
      <c r="E1091" s="2"/>
      <c r="F1091" s="50"/>
      <c r="G1091" s="50"/>
      <c r="H1091" s="46"/>
      <c r="I1091" s="514"/>
      <c r="J1091" s="10"/>
      <c r="L1091" s="215"/>
      <c r="M1091" s="78"/>
      <c r="N1091" s="216"/>
      <c r="O1091" s="417"/>
      <c r="P1091" s="129"/>
      <c r="Q1091" s="129"/>
      <c r="R1091" s="658"/>
      <c r="S1091" s="659"/>
      <c r="T1091" s="416"/>
    </row>
    <row r="1092" spans="1:20" ht="30" customHeight="1">
      <c r="A1092" s="59" t="s">
        <v>43</v>
      </c>
      <c r="B1092" s="32">
        <f>C1092*1.33</f>
        <v>13.3</v>
      </c>
      <c r="C1092" s="23">
        <v>10</v>
      </c>
      <c r="D1092" s="1"/>
      <c r="E1092" s="2"/>
      <c r="F1092" s="50"/>
      <c r="G1092" s="50"/>
      <c r="H1092" s="46"/>
      <c r="I1092" s="514"/>
      <c r="J1092" s="10"/>
      <c r="K1092" s="87"/>
      <c r="L1092" s="215"/>
      <c r="M1092" s="78"/>
      <c r="N1092" s="216"/>
      <c r="O1092" s="417"/>
      <c r="P1092" s="380"/>
      <c r="Q1092" s="380"/>
      <c r="R1092" s="380"/>
      <c r="S1092" s="634"/>
      <c r="T1092" s="633"/>
    </row>
    <row r="1093" spans="1:20" ht="30" customHeight="1">
      <c r="A1093" s="59" t="s">
        <v>51</v>
      </c>
      <c r="B1093" s="45">
        <f>C1093*1.19</f>
        <v>11.899999999999999</v>
      </c>
      <c r="C1093" s="23">
        <v>10</v>
      </c>
      <c r="D1093" s="1"/>
      <c r="E1093" s="2"/>
      <c r="F1093" s="50"/>
      <c r="G1093" s="50"/>
      <c r="H1093" s="46"/>
      <c r="I1093" s="514"/>
      <c r="J1093" s="10"/>
      <c r="K1093" s="87"/>
      <c r="L1093" s="215"/>
      <c r="M1093" s="78"/>
      <c r="N1093" s="216"/>
      <c r="O1093" s="216"/>
      <c r="P1093" s="129"/>
      <c r="Q1093" s="129"/>
      <c r="R1093" s="129"/>
      <c r="S1093" s="78"/>
      <c r="T1093" s="633"/>
    </row>
    <row r="1094" spans="1:20" ht="30" customHeight="1">
      <c r="A1094" s="59" t="s">
        <v>149</v>
      </c>
      <c r="B1094" s="45">
        <f>C1094*1.82</f>
        <v>27.3</v>
      </c>
      <c r="C1094" s="23">
        <v>15</v>
      </c>
      <c r="D1094" s="1"/>
      <c r="E1094" s="2"/>
      <c r="F1094" s="50"/>
      <c r="G1094" s="50"/>
      <c r="H1094" s="46"/>
      <c r="I1094" s="514"/>
      <c r="J1094" s="9"/>
      <c r="L1094" s="215"/>
      <c r="M1094" s="78"/>
      <c r="N1094" s="216"/>
      <c r="O1094" s="417"/>
      <c r="P1094" s="414"/>
      <c r="Q1094" s="414"/>
      <c r="R1094" s="414"/>
      <c r="S1094" s="415"/>
      <c r="T1094" s="414"/>
    </row>
    <row r="1095" spans="1:20" ht="30" customHeight="1">
      <c r="A1095" s="59" t="s">
        <v>70</v>
      </c>
      <c r="B1095" s="23">
        <v>5</v>
      </c>
      <c r="C1095" s="23">
        <v>5</v>
      </c>
      <c r="D1095" s="1"/>
      <c r="E1095" s="50"/>
      <c r="F1095" s="50"/>
      <c r="G1095" s="50"/>
      <c r="H1095" s="46"/>
      <c r="I1095" s="514"/>
      <c r="J1095" s="9"/>
      <c r="L1095" s="215"/>
      <c r="M1095" s="78"/>
      <c r="N1095" s="216"/>
      <c r="O1095" s="417"/>
      <c r="P1095" s="414"/>
      <c r="Q1095" s="414"/>
      <c r="R1095" s="414"/>
      <c r="S1095" s="415"/>
      <c r="T1095" s="414"/>
    </row>
    <row r="1096" spans="1:20" ht="30" customHeight="1">
      <c r="A1096" s="89" t="s">
        <v>52</v>
      </c>
      <c r="B1096" s="58">
        <v>5</v>
      </c>
      <c r="C1096" s="58">
        <v>5</v>
      </c>
      <c r="D1096" s="1"/>
      <c r="E1096" s="50"/>
      <c r="F1096" s="50"/>
      <c r="G1096" s="50"/>
      <c r="H1096" s="46"/>
      <c r="I1096" s="514"/>
      <c r="J1096" s="9"/>
      <c r="L1096" s="215"/>
      <c r="M1096" s="78"/>
      <c r="N1096" s="78"/>
      <c r="O1096" s="216"/>
      <c r="P1096" s="129"/>
      <c r="Q1096" s="129"/>
      <c r="R1096" s="129"/>
      <c r="S1096" s="78"/>
      <c r="T1096" s="633"/>
    </row>
    <row r="1097" spans="1:27" ht="30" customHeight="1">
      <c r="A1097" s="671" t="s">
        <v>606</v>
      </c>
      <c r="B1097" s="671"/>
      <c r="C1097" s="671"/>
      <c r="D1097" s="1">
        <v>120</v>
      </c>
      <c r="E1097" s="21">
        <v>23.3</v>
      </c>
      <c r="F1097" s="21">
        <v>11.5</v>
      </c>
      <c r="G1097" s="21">
        <v>14.4</v>
      </c>
      <c r="H1097" s="238">
        <f>E1097*4+F1097*9+G1097*4</f>
        <v>254.29999999999998</v>
      </c>
      <c r="I1097" s="304" t="s">
        <v>554</v>
      </c>
      <c r="J1097" s="9"/>
      <c r="M1097" s="87"/>
      <c r="V1097" s="83"/>
      <c r="W1097" s="83"/>
      <c r="X1097" s="83"/>
      <c r="Y1097" s="83"/>
      <c r="Z1097" s="83"/>
      <c r="AA1097" s="83"/>
    </row>
    <row r="1098" spans="1:13" ht="28.5" customHeight="1">
      <c r="A1098" s="54" t="s">
        <v>555</v>
      </c>
      <c r="B1098" s="464">
        <f>C1098*1.11</f>
        <v>107.67000000000002</v>
      </c>
      <c r="C1098" s="45">
        <v>97</v>
      </c>
      <c r="D1098" s="1"/>
      <c r="E1098" s="21"/>
      <c r="F1098" s="21"/>
      <c r="G1098" s="21"/>
      <c r="H1098" s="238"/>
      <c r="I1098" s="619"/>
      <c r="J1098" s="9"/>
      <c r="M1098" s="87"/>
    </row>
    <row r="1099" spans="1:13" ht="28.5" customHeight="1">
      <c r="A1099" s="54" t="s">
        <v>556</v>
      </c>
      <c r="B1099" s="37">
        <f>C1099*1.3</f>
        <v>126.10000000000001</v>
      </c>
      <c r="C1099" s="47">
        <v>97</v>
      </c>
      <c r="D1099" s="1"/>
      <c r="E1099" s="38"/>
      <c r="F1099" s="38"/>
      <c r="G1099" s="38"/>
      <c r="H1099" s="38"/>
      <c r="I1099" s="619"/>
      <c r="J1099" s="9"/>
      <c r="M1099" s="87"/>
    </row>
    <row r="1100" spans="1:27" ht="28.5" customHeight="1">
      <c r="A1100" s="54" t="s">
        <v>557</v>
      </c>
      <c r="B1100" s="126"/>
      <c r="C1100" s="47">
        <v>52</v>
      </c>
      <c r="D1100" s="1"/>
      <c r="E1100" s="38"/>
      <c r="F1100" s="38"/>
      <c r="G1100" s="38"/>
      <c r="H1100" s="38"/>
      <c r="I1100" s="619"/>
      <c r="J1100" s="36"/>
      <c r="M1100" s="87"/>
      <c r="V1100" s="40"/>
      <c r="W1100" s="40"/>
      <c r="X1100" s="40"/>
      <c r="Y1100" s="40"/>
      <c r="Z1100" s="40"/>
      <c r="AA1100" s="40"/>
    </row>
    <row r="1101" spans="1:27" s="83" customFormat="1" ht="28.5" customHeight="1">
      <c r="A1101" s="54" t="s">
        <v>389</v>
      </c>
      <c r="B1101" s="37">
        <f>C1101*1.35</f>
        <v>37.800000000000004</v>
      </c>
      <c r="C1101" s="45">
        <v>28</v>
      </c>
      <c r="D1101" s="1"/>
      <c r="E1101" s="292"/>
      <c r="F1101" s="292"/>
      <c r="G1101" s="292"/>
      <c r="H1101" s="353"/>
      <c r="I1101" s="619"/>
      <c r="J1101" s="36"/>
      <c r="M1101" s="87"/>
      <c r="N1101" s="80"/>
      <c r="O1101" s="80"/>
      <c r="P1101" s="80"/>
      <c r="Q1101" s="80"/>
      <c r="R1101" s="80"/>
      <c r="S1101" s="80"/>
      <c r="T1101" s="80"/>
      <c r="U1101" s="80"/>
      <c r="V1101" s="80"/>
      <c r="W1101" s="80"/>
      <c r="X1101" s="80"/>
      <c r="Y1101" s="80"/>
      <c r="Z1101" s="80"/>
      <c r="AA1101" s="80"/>
    </row>
    <row r="1102" spans="1:13" ht="28.5" customHeight="1">
      <c r="A1102" s="73" t="s">
        <v>558</v>
      </c>
      <c r="B1102" s="126">
        <f>C1102*1.82</f>
        <v>50.96</v>
      </c>
      <c r="C1102" s="45">
        <v>28</v>
      </c>
      <c r="D1102" s="1"/>
      <c r="E1102" s="38"/>
      <c r="F1102" s="38"/>
      <c r="G1102" s="38"/>
      <c r="H1102" s="57"/>
      <c r="I1102" s="304"/>
      <c r="J1102" s="9"/>
      <c r="M1102" s="87"/>
    </row>
    <row r="1103" spans="1:21" ht="28.5" customHeight="1">
      <c r="A1103" s="54" t="s">
        <v>559</v>
      </c>
      <c r="B1103" s="126">
        <f>C1103*1.5</f>
        <v>42</v>
      </c>
      <c r="C1103" s="45">
        <v>28</v>
      </c>
      <c r="D1103" s="1"/>
      <c r="E1103" s="38"/>
      <c r="F1103" s="38"/>
      <c r="G1103" s="38"/>
      <c r="H1103" s="57"/>
      <c r="I1103" s="636"/>
      <c r="J1103" s="9"/>
      <c r="M1103" s="87"/>
      <c r="S1103" s="83"/>
      <c r="T1103" s="83"/>
      <c r="U1103" s="83"/>
    </row>
    <row r="1104" spans="1:13" ht="28.5" customHeight="1">
      <c r="A1104" s="54" t="s">
        <v>429</v>
      </c>
      <c r="B1104" s="37">
        <f>C1104*1.32</f>
        <v>36.96</v>
      </c>
      <c r="C1104" s="45">
        <v>28</v>
      </c>
      <c r="D1104" s="23"/>
      <c r="E1104" s="32"/>
      <c r="F1104" s="32"/>
      <c r="G1104" s="32"/>
      <c r="H1104" s="23"/>
      <c r="I1104" s="466"/>
      <c r="J1104" s="9"/>
      <c r="M1104" s="87"/>
    </row>
    <row r="1105" spans="1:13" ht="28.5" customHeight="1">
      <c r="A1105" s="59" t="s">
        <v>42</v>
      </c>
      <c r="B1105" s="64">
        <v>22</v>
      </c>
      <c r="C1105" s="58">
        <v>22</v>
      </c>
      <c r="D1105" s="1"/>
      <c r="E1105" s="38"/>
      <c r="F1105" s="38"/>
      <c r="G1105" s="38"/>
      <c r="H1105" s="57"/>
      <c r="I1105" s="636"/>
      <c r="J1105" s="9"/>
      <c r="M1105" s="87"/>
    </row>
    <row r="1106" spans="1:13" ht="28.5" customHeight="1">
      <c r="A1106" s="20" t="s">
        <v>63</v>
      </c>
      <c r="B1106" s="23">
        <v>22</v>
      </c>
      <c r="C1106" s="45">
        <v>22</v>
      </c>
      <c r="D1106" s="1"/>
      <c r="E1106" s="292"/>
      <c r="F1106" s="283"/>
      <c r="G1106" s="283"/>
      <c r="H1106" s="454"/>
      <c r="I1106" s="619"/>
      <c r="J1106" s="9"/>
      <c r="M1106" s="87"/>
    </row>
    <row r="1107" spans="1:13" ht="28.5" customHeight="1">
      <c r="A1107" s="20" t="s">
        <v>489</v>
      </c>
      <c r="B1107" s="23">
        <v>12</v>
      </c>
      <c r="C1107" s="45">
        <v>12</v>
      </c>
      <c r="D1107" s="1"/>
      <c r="E1107" s="292"/>
      <c r="F1107" s="283"/>
      <c r="G1107" s="283"/>
      <c r="H1107" s="454"/>
      <c r="I1107" s="619"/>
      <c r="J1107" s="9"/>
      <c r="M1107" s="87"/>
    </row>
    <row r="1108" spans="1:13" ht="28.5" customHeight="1">
      <c r="A1108" s="59" t="s">
        <v>51</v>
      </c>
      <c r="B1108" s="57">
        <f>C1108*1.19</f>
        <v>11.899999999999999</v>
      </c>
      <c r="C1108" s="26">
        <v>10</v>
      </c>
      <c r="D1108" s="1"/>
      <c r="E1108" s="292"/>
      <c r="F1108" s="283"/>
      <c r="G1108" s="283"/>
      <c r="H1108" s="454"/>
      <c r="I1108" s="619"/>
      <c r="J1108" s="9"/>
      <c r="M1108" s="87"/>
    </row>
    <row r="1109" spans="1:13" ht="28.5" customHeight="1">
      <c r="A1109" s="53" t="s">
        <v>607</v>
      </c>
      <c r="B1109" s="45">
        <v>10</v>
      </c>
      <c r="C1109" s="45">
        <v>10</v>
      </c>
      <c r="D1109" s="23"/>
      <c r="E1109" s="32"/>
      <c r="F1109" s="43"/>
      <c r="G1109" s="43"/>
      <c r="H1109" s="26"/>
      <c r="I1109" s="304"/>
      <c r="J1109" s="9"/>
      <c r="M1109" s="87"/>
    </row>
    <row r="1110" spans="1:13" ht="28.5" customHeight="1">
      <c r="A1110" s="53" t="s">
        <v>44</v>
      </c>
      <c r="B1110" s="23">
        <v>7</v>
      </c>
      <c r="C1110" s="23">
        <v>7</v>
      </c>
      <c r="D1110" s="23"/>
      <c r="E1110" s="32"/>
      <c r="F1110" s="43"/>
      <c r="G1110" s="43"/>
      <c r="H1110" s="26"/>
      <c r="I1110" s="304"/>
      <c r="J1110" s="9"/>
      <c r="M1110" s="87"/>
    </row>
    <row r="1111" spans="1:27" ht="28.5" customHeight="1">
      <c r="A1111" s="692" t="s">
        <v>95</v>
      </c>
      <c r="B1111" s="692"/>
      <c r="C1111" s="692"/>
      <c r="D1111" s="692"/>
      <c r="E1111" s="692"/>
      <c r="F1111" s="692"/>
      <c r="G1111" s="692"/>
      <c r="H1111" s="692"/>
      <c r="I1111" s="692"/>
      <c r="J1111" s="9"/>
      <c r="M1111" s="87"/>
      <c r="V1111" s="98"/>
      <c r="W1111" s="98"/>
      <c r="X1111" s="98"/>
      <c r="Y1111" s="98"/>
      <c r="Z1111" s="98"/>
      <c r="AA1111" s="98"/>
    </row>
    <row r="1112" spans="1:13" ht="28.5" customHeight="1">
      <c r="A1112" s="671" t="s">
        <v>598</v>
      </c>
      <c r="B1112" s="671"/>
      <c r="C1112" s="671"/>
      <c r="D1112" s="632">
        <v>120</v>
      </c>
      <c r="E1112" s="21">
        <v>18.2</v>
      </c>
      <c r="F1112" s="21">
        <v>13.5</v>
      </c>
      <c r="G1112" s="21">
        <v>7.2</v>
      </c>
      <c r="H1112" s="419">
        <f>E1112*4+F1112*9+G1112*4</f>
        <v>223.10000000000002</v>
      </c>
      <c r="I1112" s="300" t="s">
        <v>599</v>
      </c>
      <c r="J1112" s="9"/>
      <c r="M1112" s="87"/>
    </row>
    <row r="1113" spans="1:13" ht="28.5" customHeight="1">
      <c r="A1113" s="54" t="s">
        <v>589</v>
      </c>
      <c r="B1113" s="159">
        <f>C1113*1.43</f>
        <v>114.39999999999999</v>
      </c>
      <c r="C1113" s="49">
        <v>80</v>
      </c>
      <c r="D1113" s="26"/>
      <c r="E1113" s="43"/>
      <c r="F1113" s="43"/>
      <c r="G1113" s="43"/>
      <c r="H1113" s="43"/>
      <c r="I1113" s="639"/>
      <c r="J1113" s="9"/>
      <c r="M1113" s="87"/>
    </row>
    <row r="1114" spans="1:13" ht="28.5" customHeight="1">
      <c r="A1114" s="54" t="s">
        <v>590</v>
      </c>
      <c r="B1114" s="159">
        <f>C1114*1.72</f>
        <v>137.6</v>
      </c>
      <c r="C1114" s="49">
        <v>80</v>
      </c>
      <c r="D1114" s="26"/>
      <c r="E1114" s="43"/>
      <c r="F1114" s="43"/>
      <c r="G1114" s="43"/>
      <c r="H1114" s="43"/>
      <c r="I1114" s="639"/>
      <c r="J1114" s="9"/>
      <c r="M1114" s="87"/>
    </row>
    <row r="1115" spans="1:13" ht="30" customHeight="1">
      <c r="A1115" s="54" t="s">
        <v>591</v>
      </c>
      <c r="B1115" s="159">
        <f>C1115*1.35</f>
        <v>108</v>
      </c>
      <c r="C1115" s="49">
        <v>80</v>
      </c>
      <c r="D1115" s="26"/>
      <c r="E1115" s="43"/>
      <c r="F1115" s="2"/>
      <c r="G1115" s="2"/>
      <c r="H1115" s="3"/>
      <c r="I1115" s="444"/>
      <c r="J1115" s="9"/>
      <c r="M1115" s="87"/>
    </row>
    <row r="1116" spans="1:13" ht="30" customHeight="1">
      <c r="A1116" s="54" t="s">
        <v>429</v>
      </c>
      <c r="B1116" s="37">
        <f>C1116*1.32</f>
        <v>105.60000000000001</v>
      </c>
      <c r="C1116" s="26">
        <f>C1115</f>
        <v>80</v>
      </c>
      <c r="D1116" s="23"/>
      <c r="E1116" s="32"/>
      <c r="F1116" s="32"/>
      <c r="G1116" s="32"/>
      <c r="H1116" s="23"/>
      <c r="I1116" s="466"/>
      <c r="J1116" s="9"/>
      <c r="M1116" s="87"/>
    </row>
    <row r="1117" spans="1:13" ht="30" customHeight="1">
      <c r="A1117" s="54" t="s">
        <v>328</v>
      </c>
      <c r="B1117" s="159">
        <f>C1117*1.17</f>
        <v>53.81999999999999</v>
      </c>
      <c r="C1117" s="49">
        <v>46</v>
      </c>
      <c r="D1117" s="26"/>
      <c r="E1117" s="43"/>
      <c r="F1117" s="32"/>
      <c r="G1117" s="32"/>
      <c r="H1117" s="45"/>
      <c r="I1117" s="640"/>
      <c r="J1117" s="9"/>
      <c r="M1117" s="87"/>
    </row>
    <row r="1118" spans="1:13" ht="30" customHeight="1">
      <c r="A1118" s="25" t="s">
        <v>51</v>
      </c>
      <c r="B1118" s="49">
        <f>C1118*1.19</f>
        <v>13.09</v>
      </c>
      <c r="C1118" s="49">
        <v>11</v>
      </c>
      <c r="D1118" s="26"/>
      <c r="E1118" s="43"/>
      <c r="F1118" s="641"/>
      <c r="G1118" s="23"/>
      <c r="H1118" s="23"/>
      <c r="I1118" s="642"/>
      <c r="J1118" s="9"/>
      <c r="M1118" s="87"/>
    </row>
    <row r="1119" spans="1:13" ht="30" customHeight="1">
      <c r="A1119" s="25" t="s">
        <v>63</v>
      </c>
      <c r="B1119" s="49">
        <v>7.4</v>
      </c>
      <c r="C1119" s="49">
        <v>7.4</v>
      </c>
      <c r="D1119" s="26"/>
      <c r="E1119" s="43"/>
      <c r="F1119" s="20"/>
      <c r="G1119" s="26"/>
      <c r="H1119" s="26"/>
      <c r="I1119" s="643"/>
      <c r="J1119" s="9"/>
      <c r="M1119" s="87"/>
    </row>
    <row r="1120" spans="1:13" ht="30" customHeight="1">
      <c r="A1120" s="25" t="s">
        <v>489</v>
      </c>
      <c r="B1120" s="49">
        <v>11</v>
      </c>
      <c r="C1120" s="49">
        <v>11</v>
      </c>
      <c r="D1120" s="26"/>
      <c r="E1120" s="43"/>
      <c r="F1120" s="20"/>
      <c r="G1120" s="26"/>
      <c r="H1120" s="26"/>
      <c r="I1120" s="642"/>
      <c r="J1120" s="9"/>
      <c r="M1120" s="87"/>
    </row>
    <row r="1121" spans="1:13" ht="30" customHeight="1">
      <c r="A1121" s="25" t="s">
        <v>54</v>
      </c>
      <c r="B1121" s="49">
        <v>6</v>
      </c>
      <c r="C1121" s="49">
        <v>6</v>
      </c>
      <c r="D1121" s="26"/>
      <c r="E1121" s="32"/>
      <c r="F1121" s="32"/>
      <c r="G1121" s="32"/>
      <c r="H1121" s="45"/>
      <c r="I1121" s="644"/>
      <c r="J1121" s="9"/>
      <c r="M1121" s="87"/>
    </row>
    <row r="1122" spans="1:13" ht="30" customHeight="1">
      <c r="A1122" s="25" t="s">
        <v>44</v>
      </c>
      <c r="B1122" s="49">
        <v>4</v>
      </c>
      <c r="C1122" s="49">
        <v>4</v>
      </c>
      <c r="D1122" s="26"/>
      <c r="E1122" s="32"/>
      <c r="F1122" s="32"/>
      <c r="G1122" s="21"/>
      <c r="H1122" s="238"/>
      <c r="I1122" s="645"/>
      <c r="J1122" s="9"/>
      <c r="M1122" s="87"/>
    </row>
    <row r="1123" spans="1:13" ht="30" customHeight="1">
      <c r="A1123" s="671" t="s">
        <v>250</v>
      </c>
      <c r="B1123" s="671"/>
      <c r="C1123" s="671"/>
      <c r="D1123" s="1">
        <v>180</v>
      </c>
      <c r="E1123" s="21">
        <v>1.44</v>
      </c>
      <c r="F1123" s="21">
        <v>6.119999999999999</v>
      </c>
      <c r="G1123" s="21">
        <v>25.92</v>
      </c>
      <c r="H1123" s="419">
        <f>E1123*4+F1123*9+G1123*4</f>
        <v>164.51999999999998</v>
      </c>
      <c r="I1123" s="300" t="s">
        <v>251</v>
      </c>
      <c r="J1123" s="9"/>
      <c r="M1123" s="87"/>
    </row>
    <row r="1124" spans="1:13" ht="30" customHeight="1">
      <c r="A1124" s="53" t="s">
        <v>47</v>
      </c>
      <c r="B1124" s="45">
        <f>C1124*1.33</f>
        <v>226.10000000000002</v>
      </c>
      <c r="C1124" s="23">
        <v>170</v>
      </c>
      <c r="D1124" s="632"/>
      <c r="E1124" s="21"/>
      <c r="F1124" s="21"/>
      <c r="G1124" s="21"/>
      <c r="H1124" s="238"/>
      <c r="I1124" s="300"/>
      <c r="J1124" s="9"/>
      <c r="M1124" s="87"/>
    </row>
    <row r="1125" spans="1:13" ht="30" customHeight="1">
      <c r="A1125" s="115" t="s">
        <v>48</v>
      </c>
      <c r="B1125" s="26">
        <f>C1125*1.43</f>
        <v>243.1</v>
      </c>
      <c r="C1125" s="22">
        <v>170</v>
      </c>
      <c r="D1125" s="244"/>
      <c r="E1125" s="277"/>
      <c r="F1125" s="21"/>
      <c r="G1125" s="277"/>
      <c r="H1125" s="620"/>
      <c r="I1125" s="300"/>
      <c r="J1125" s="9"/>
      <c r="M1125" s="87"/>
    </row>
    <row r="1126" spans="1:21" ht="30" customHeight="1">
      <c r="A1126" s="115" t="s">
        <v>49</v>
      </c>
      <c r="B1126" s="26">
        <f>C1126*1.54</f>
        <v>261.8</v>
      </c>
      <c r="C1126" s="22">
        <v>170</v>
      </c>
      <c r="D1126" s="244"/>
      <c r="E1126" s="277"/>
      <c r="F1126" s="21"/>
      <c r="G1126" s="277"/>
      <c r="H1126" s="620"/>
      <c r="I1126" s="300"/>
      <c r="J1126" s="9"/>
      <c r="M1126" s="87"/>
      <c r="S1126" s="83"/>
      <c r="T1126" s="83"/>
      <c r="U1126" s="83"/>
    </row>
    <row r="1127" spans="1:13" ht="30" customHeight="1">
      <c r="A1127" s="20" t="s">
        <v>50</v>
      </c>
      <c r="B1127" s="26">
        <f>C1127*1.67</f>
        <v>283.9</v>
      </c>
      <c r="C1127" s="22">
        <v>170</v>
      </c>
      <c r="D1127" s="244"/>
      <c r="E1127" s="277"/>
      <c r="F1127" s="21"/>
      <c r="G1127" s="277"/>
      <c r="H1127" s="620"/>
      <c r="I1127" s="300"/>
      <c r="J1127" s="9"/>
      <c r="M1127" s="87"/>
    </row>
    <row r="1128" spans="1:13" ht="30" customHeight="1">
      <c r="A1128" s="20" t="s">
        <v>214</v>
      </c>
      <c r="B1128" s="26">
        <v>30</v>
      </c>
      <c r="C1128" s="22">
        <v>30</v>
      </c>
      <c r="D1128" s="244"/>
      <c r="E1128" s="277"/>
      <c r="F1128" s="21"/>
      <c r="G1128" s="277"/>
      <c r="H1128" s="620"/>
      <c r="I1128" s="300"/>
      <c r="J1128" s="9"/>
      <c r="M1128" s="87"/>
    </row>
    <row r="1129" spans="1:13" ht="30" customHeight="1">
      <c r="A1129" s="53" t="s">
        <v>51</v>
      </c>
      <c r="B1129" s="45">
        <f>C1129*1.19</f>
        <v>21.419999999999998</v>
      </c>
      <c r="C1129" s="23">
        <v>18</v>
      </c>
      <c r="D1129" s="23"/>
      <c r="E1129" s="451"/>
      <c r="F1129" s="451"/>
      <c r="G1129" s="451"/>
      <c r="H1129" s="452"/>
      <c r="I1129" s="44"/>
      <c r="J1129" s="9"/>
      <c r="M1129" s="87"/>
    </row>
    <row r="1130" spans="1:14" ht="30" customHeight="1">
      <c r="A1130" s="53" t="s">
        <v>70</v>
      </c>
      <c r="B1130" s="45">
        <v>6</v>
      </c>
      <c r="C1130" s="45">
        <v>6</v>
      </c>
      <c r="D1130" s="632"/>
      <c r="E1130" s="21"/>
      <c r="F1130" s="21"/>
      <c r="G1130" s="21"/>
      <c r="H1130" s="238"/>
      <c r="I1130" s="300"/>
      <c r="J1130" s="9"/>
      <c r="M1130" s="87"/>
      <c r="N1130" s="134"/>
    </row>
    <row r="1131" spans="1:14" ht="30" customHeight="1">
      <c r="A1131" s="53" t="s">
        <v>338</v>
      </c>
      <c r="B1131" s="23"/>
      <c r="C1131" s="23">
        <v>12</v>
      </c>
      <c r="D1131" s="23"/>
      <c r="E1131" s="451"/>
      <c r="F1131" s="621"/>
      <c r="G1131" s="621"/>
      <c r="H1131" s="452"/>
      <c r="I1131" s="44"/>
      <c r="J1131" s="9"/>
      <c r="M1131" s="87"/>
      <c r="N1131" s="130"/>
    </row>
    <row r="1132" spans="1:14" ht="30" customHeight="1">
      <c r="A1132" s="675" t="s">
        <v>417</v>
      </c>
      <c r="B1132" s="702"/>
      <c r="C1132" s="702"/>
      <c r="D1132" s="4">
        <v>200</v>
      </c>
      <c r="E1132" s="2">
        <v>0.3</v>
      </c>
      <c r="F1132" s="2">
        <v>0.02</v>
      </c>
      <c r="G1132" s="2">
        <v>26.4</v>
      </c>
      <c r="H1132" s="3">
        <f>E1132*4+F1132*9+G1132*4</f>
        <v>106.97999999999999</v>
      </c>
      <c r="I1132" s="320" t="s">
        <v>418</v>
      </c>
      <c r="J1132" s="9"/>
      <c r="M1132" s="87"/>
      <c r="N1132" s="130"/>
    </row>
    <row r="1133" spans="1:14" ht="28.5" customHeight="1">
      <c r="A1133" s="25" t="s">
        <v>419</v>
      </c>
      <c r="B1133" s="22">
        <v>25</v>
      </c>
      <c r="C1133" s="22">
        <v>25</v>
      </c>
      <c r="D1133" s="1"/>
      <c r="E1133" s="63"/>
      <c r="F1133" s="63"/>
      <c r="G1133" s="63"/>
      <c r="H1133" s="105"/>
      <c r="I1133" s="474"/>
      <c r="J1133" s="9"/>
      <c r="M1133" s="87"/>
      <c r="N1133" s="66"/>
    </row>
    <row r="1134" spans="1:14" ht="28.5" customHeight="1">
      <c r="A1134" s="25" t="s">
        <v>39</v>
      </c>
      <c r="B1134" s="22">
        <v>10</v>
      </c>
      <c r="C1134" s="22">
        <v>10</v>
      </c>
      <c r="D1134" s="1"/>
      <c r="E1134" s="63"/>
      <c r="F1134" s="63"/>
      <c r="G1134" s="63"/>
      <c r="H1134" s="105"/>
      <c r="I1134" s="470"/>
      <c r="J1134" s="9"/>
      <c r="M1134" s="87"/>
      <c r="N1134" s="96"/>
    </row>
    <row r="1135" spans="1:14" ht="28.5" customHeight="1">
      <c r="A1135" s="674" t="s">
        <v>34</v>
      </c>
      <c r="B1135" s="674"/>
      <c r="C1135" s="674"/>
      <c r="D1135" s="1">
        <v>60</v>
      </c>
      <c r="E1135" s="2">
        <v>2.82</v>
      </c>
      <c r="F1135" s="2">
        <v>0.6</v>
      </c>
      <c r="G1135" s="2">
        <v>26.22</v>
      </c>
      <c r="H1135" s="3">
        <v>121.56000000000002</v>
      </c>
      <c r="I1135" s="294"/>
      <c r="J1135" s="9"/>
      <c r="M1135" s="87"/>
      <c r="N1135" s="137"/>
    </row>
    <row r="1136" spans="1:14" ht="28.5" customHeight="1">
      <c r="A1136" s="675" t="s">
        <v>145</v>
      </c>
      <c r="B1136" s="675"/>
      <c r="C1136" s="675"/>
      <c r="D1136" s="1">
        <v>60</v>
      </c>
      <c r="E1136" s="2"/>
      <c r="F1136" s="2"/>
      <c r="G1136" s="2"/>
      <c r="H1136" s="3"/>
      <c r="I1136" s="294"/>
      <c r="J1136" s="9"/>
      <c r="M1136" s="87"/>
      <c r="N1136" s="96"/>
    </row>
    <row r="1137" spans="1:14" ht="28.5" customHeight="1">
      <c r="A1137" s="674" t="s">
        <v>74</v>
      </c>
      <c r="B1137" s="674"/>
      <c r="C1137" s="674"/>
      <c r="D1137" s="3">
        <v>60</v>
      </c>
      <c r="E1137" s="2">
        <v>3</v>
      </c>
      <c r="F1137" s="2">
        <v>0.8400000000000001</v>
      </c>
      <c r="G1137" s="2">
        <v>24.299999999999997</v>
      </c>
      <c r="H1137" s="3">
        <v>116.76</v>
      </c>
      <c r="I1137" s="294"/>
      <c r="J1137" s="10"/>
      <c r="M1137" s="87"/>
      <c r="N1137" s="137"/>
    </row>
    <row r="1138" spans="1:14" ht="28.5" customHeight="1">
      <c r="A1138" s="675" t="s">
        <v>72</v>
      </c>
      <c r="B1138" s="675"/>
      <c r="C1138" s="675"/>
      <c r="D1138" s="1">
        <v>60</v>
      </c>
      <c r="E1138" s="2"/>
      <c r="F1138" s="2"/>
      <c r="G1138" s="2"/>
      <c r="H1138" s="3"/>
      <c r="I1138" s="294"/>
      <c r="J1138" s="10"/>
      <c r="M1138" s="87"/>
      <c r="N1138" s="137"/>
    </row>
    <row r="1139" spans="1:18" ht="28.5" customHeight="1">
      <c r="A1139" s="698" t="s">
        <v>202</v>
      </c>
      <c r="B1139" s="698"/>
      <c r="C1139" s="698"/>
      <c r="D1139" s="315"/>
      <c r="E1139" s="235">
        <f>E1039+E1074</f>
        <v>54.35444444444445</v>
      </c>
      <c r="F1139" s="235">
        <f>F1039+F1074</f>
        <v>42.86</v>
      </c>
      <c r="G1139" s="235">
        <f>G1039+G1074</f>
        <v>230.44</v>
      </c>
      <c r="H1139" s="267">
        <f>H1039+H1074</f>
        <v>1524.9177777777777</v>
      </c>
      <c r="I1139" s="302"/>
      <c r="J1139" s="10"/>
      <c r="M1139" s="87"/>
      <c r="N1139" s="137"/>
      <c r="O1139" s="95"/>
      <c r="P1139" s="95"/>
      <c r="Q1139" s="95"/>
      <c r="R1139" s="95"/>
    </row>
    <row r="1140" spans="1:14" ht="28.5" customHeight="1">
      <c r="A1140" s="694" t="s">
        <v>304</v>
      </c>
      <c r="B1140" s="695"/>
      <c r="C1140" s="695"/>
      <c r="D1140" s="695"/>
      <c r="E1140" s="235">
        <f>(E1139+E1035+E930+E834+E744+E631)/6</f>
        <v>52.09150997150997</v>
      </c>
      <c r="F1140" s="235">
        <f>(F1139+F1035+F930+F834+F744+F631)/6</f>
        <v>48.624487179487176</v>
      </c>
      <c r="G1140" s="235">
        <f>(G1139+G1035+G930+G834+G744+G631)/6</f>
        <v>211.33179487179487</v>
      </c>
      <c r="H1140" s="235">
        <f>(H1139+H1035+H930+H834+H744+H631)/6</f>
        <v>1490.9902706552705</v>
      </c>
      <c r="I1140" s="696" t="s">
        <v>310</v>
      </c>
      <c r="J1140" s="10"/>
      <c r="M1140" s="87"/>
      <c r="N1140" s="96"/>
    </row>
    <row r="1141" spans="1:14" ht="28.5" customHeight="1">
      <c r="A1141" s="697" t="s">
        <v>305</v>
      </c>
      <c r="B1141" s="695"/>
      <c r="C1141" s="695"/>
      <c r="D1141" s="695"/>
      <c r="E1141" s="350" t="s">
        <v>306</v>
      </c>
      <c r="F1141" s="350" t="s">
        <v>307</v>
      </c>
      <c r="G1141" s="350" t="s">
        <v>308</v>
      </c>
      <c r="H1141" s="350" t="s">
        <v>309</v>
      </c>
      <c r="I1141" s="696"/>
      <c r="J1141" s="16"/>
      <c r="M1141" s="87"/>
      <c r="N1141" s="137"/>
    </row>
    <row r="1142" spans="1:21" ht="28.5" customHeight="1">
      <c r="A1142" s="694" t="s">
        <v>204</v>
      </c>
      <c r="B1142" s="695"/>
      <c r="C1142" s="695"/>
      <c r="D1142" s="695"/>
      <c r="E1142" s="235">
        <v>90</v>
      </c>
      <c r="F1142" s="235">
        <v>92</v>
      </c>
      <c r="G1142" s="235">
        <v>383</v>
      </c>
      <c r="H1142" s="235">
        <v>2720</v>
      </c>
      <c r="I1142" s="318"/>
      <c r="J1142" s="16"/>
      <c r="M1142" s="87"/>
      <c r="N1142" s="96"/>
      <c r="S1142" s="83"/>
      <c r="T1142" s="83"/>
      <c r="U1142" s="83"/>
    </row>
    <row r="1143" spans="1:14" ht="28.5" customHeight="1">
      <c r="A1143" s="706" t="s">
        <v>400</v>
      </c>
      <c r="B1143" s="706"/>
      <c r="C1143" s="706"/>
      <c r="D1143" s="706"/>
      <c r="E1143" s="706"/>
      <c r="F1143" s="706"/>
      <c r="G1143" s="706"/>
      <c r="H1143" s="707"/>
      <c r="I1143" s="706"/>
      <c r="J1143" s="9"/>
      <c r="M1143" s="87"/>
      <c r="N1143" s="96"/>
    </row>
    <row r="1144" spans="1:14" ht="28.5" customHeight="1">
      <c r="A1144" s="706" t="s">
        <v>125</v>
      </c>
      <c r="B1144" s="706"/>
      <c r="C1144" s="706"/>
      <c r="D1144" s="706"/>
      <c r="E1144" s="706"/>
      <c r="F1144" s="706"/>
      <c r="G1144" s="706"/>
      <c r="H1144" s="707"/>
      <c r="I1144" s="706"/>
      <c r="J1144" s="10"/>
      <c r="M1144" s="87"/>
      <c r="N1144" s="66"/>
    </row>
    <row r="1145" spans="1:14" ht="28.5" customHeight="1">
      <c r="A1145" s="693" t="s">
        <v>1</v>
      </c>
      <c r="B1145" s="676" t="s">
        <v>2</v>
      </c>
      <c r="C1145" s="676" t="s">
        <v>3</v>
      </c>
      <c r="D1145" s="676" t="s">
        <v>4</v>
      </c>
      <c r="E1145" s="676"/>
      <c r="F1145" s="676"/>
      <c r="G1145" s="676"/>
      <c r="H1145" s="676"/>
      <c r="I1145" s="682" t="s">
        <v>201</v>
      </c>
      <c r="J1145" s="10"/>
      <c r="M1145" s="87"/>
      <c r="N1145" s="96"/>
    </row>
    <row r="1146" spans="1:14" ht="28.5" customHeight="1">
      <c r="A1146" s="693"/>
      <c r="B1146" s="676"/>
      <c r="C1146" s="676"/>
      <c r="D1146" s="6" t="s">
        <v>5</v>
      </c>
      <c r="E1146" s="62" t="s">
        <v>6</v>
      </c>
      <c r="F1146" s="62" t="s">
        <v>7</v>
      </c>
      <c r="G1146" s="62" t="s">
        <v>8</v>
      </c>
      <c r="H1146" s="69" t="s">
        <v>9</v>
      </c>
      <c r="I1146" s="682"/>
      <c r="J1146" s="10"/>
      <c r="M1146" s="87"/>
      <c r="N1146" s="96"/>
    </row>
    <row r="1147" spans="1:27" s="83" customFormat="1" ht="28.5" customHeight="1">
      <c r="A1147" s="690" t="s">
        <v>10</v>
      </c>
      <c r="B1147" s="690"/>
      <c r="C1147" s="690"/>
      <c r="D1147" s="243">
        <f>60+205+D1167+207+D1172</f>
        <v>642</v>
      </c>
      <c r="E1147" s="71">
        <f>E1148+E1151+E1167+E1168+E1172+E1173</f>
        <v>15.3</v>
      </c>
      <c r="F1147" s="71">
        <f>F1148+F1151+F1167+F1168+F1172+F1173</f>
        <v>11.31</v>
      </c>
      <c r="G1147" s="71">
        <f>G1148+G1151+G1167+G1168+G1172+G1173</f>
        <v>108.55</v>
      </c>
      <c r="H1147" s="265">
        <f>H1148+H1151+H1167+H1168+H1172+H1173</f>
        <v>597.1899999999999</v>
      </c>
      <c r="I1147" s="682"/>
      <c r="J1147" s="10"/>
      <c r="M1147" s="87"/>
      <c r="N1147" s="99"/>
      <c r="O1147" s="80"/>
      <c r="P1147" s="80"/>
      <c r="Q1147" s="80"/>
      <c r="R1147" s="80"/>
      <c r="S1147" s="80"/>
      <c r="T1147" s="80"/>
      <c r="U1147" s="80"/>
      <c r="V1147" s="80"/>
      <c r="W1147" s="80"/>
      <c r="X1147" s="80"/>
      <c r="Y1147" s="80"/>
      <c r="Z1147" s="80"/>
      <c r="AA1147" s="80"/>
    </row>
    <row r="1148" spans="1:13" ht="28.5" customHeight="1">
      <c r="A1148" s="675" t="s">
        <v>254</v>
      </c>
      <c r="B1148" s="675"/>
      <c r="C1148" s="675"/>
      <c r="D1148" s="145" t="s">
        <v>566</v>
      </c>
      <c r="E1148" s="2">
        <v>1.9</v>
      </c>
      <c r="F1148" s="2">
        <v>0.5</v>
      </c>
      <c r="G1148" s="2">
        <v>27.7</v>
      </c>
      <c r="H1148" s="3">
        <f>E1148*4+F1148*9+G1148*4</f>
        <v>122.89999999999999</v>
      </c>
      <c r="I1148" s="320" t="s">
        <v>255</v>
      </c>
      <c r="J1148" s="10"/>
      <c r="M1148" s="87"/>
    </row>
    <row r="1149" spans="1:13" ht="28.5" customHeight="1">
      <c r="A1149" s="100" t="s">
        <v>393</v>
      </c>
      <c r="B1149" s="219">
        <v>30</v>
      </c>
      <c r="C1149" s="219">
        <v>30</v>
      </c>
      <c r="D1149" s="1"/>
      <c r="E1149" s="2"/>
      <c r="F1149" s="2"/>
      <c r="G1149" s="2"/>
      <c r="H1149" s="3"/>
      <c r="I1149" s="325"/>
      <c r="J1149" s="10"/>
      <c r="M1149" s="87"/>
    </row>
    <row r="1150" spans="1:13" ht="38.25">
      <c r="A1150" s="59" t="s">
        <v>430</v>
      </c>
      <c r="B1150" s="219">
        <v>30.2</v>
      </c>
      <c r="C1150" s="219">
        <v>30</v>
      </c>
      <c r="D1150" s="1"/>
      <c r="E1150" s="2"/>
      <c r="F1150" s="2"/>
      <c r="G1150" s="2"/>
      <c r="H1150" s="3"/>
      <c r="I1150" s="325"/>
      <c r="J1150" s="10"/>
      <c r="M1150" s="87"/>
    </row>
    <row r="1151" spans="1:13" ht="30" customHeight="1">
      <c r="A1151" s="691" t="s">
        <v>367</v>
      </c>
      <c r="B1151" s="691"/>
      <c r="C1151" s="691"/>
      <c r="D1151" s="1" t="s">
        <v>93</v>
      </c>
      <c r="E1151" s="2">
        <v>5.4</v>
      </c>
      <c r="F1151" s="2">
        <v>5.7</v>
      </c>
      <c r="G1151" s="2">
        <v>21.2</v>
      </c>
      <c r="H1151" s="104">
        <f>E1151*4+F1151*9+G1151*4</f>
        <v>157.7</v>
      </c>
      <c r="I1151" s="297" t="s">
        <v>444</v>
      </c>
      <c r="J1151" s="10"/>
      <c r="M1151" s="87"/>
    </row>
    <row r="1152" spans="1:18" ht="30" customHeight="1">
      <c r="A1152" s="100" t="s">
        <v>57</v>
      </c>
      <c r="B1152" s="219">
        <v>17</v>
      </c>
      <c r="C1152" s="219">
        <v>17</v>
      </c>
      <c r="D1152" s="33"/>
      <c r="E1152" s="32"/>
      <c r="F1152" s="32"/>
      <c r="G1152" s="32"/>
      <c r="H1152" s="45"/>
      <c r="I1152" s="449"/>
      <c r="J1152" s="10"/>
      <c r="M1152" s="87"/>
      <c r="O1152" s="83"/>
      <c r="P1152" s="83"/>
      <c r="Q1152" s="83"/>
      <c r="R1152" s="83"/>
    </row>
    <row r="1153" spans="1:13" ht="30" customHeight="1">
      <c r="A1153" s="25" t="s">
        <v>406</v>
      </c>
      <c r="B1153" s="219">
        <v>12</v>
      </c>
      <c r="C1153" s="219">
        <v>12</v>
      </c>
      <c r="D1153" s="33"/>
      <c r="E1153" s="32"/>
      <c r="F1153" s="32"/>
      <c r="G1153" s="32"/>
      <c r="H1153" s="45"/>
      <c r="I1153" s="449"/>
      <c r="J1153" s="10"/>
      <c r="M1153" s="87"/>
    </row>
    <row r="1154" spans="1:13" ht="30" customHeight="1">
      <c r="A1154" s="20" t="s">
        <v>219</v>
      </c>
      <c r="B1154" s="56">
        <v>0.8</v>
      </c>
      <c r="C1154" s="56">
        <v>0.8</v>
      </c>
      <c r="D1154" s="453"/>
      <c r="E1154" s="38"/>
      <c r="F1154" s="38"/>
      <c r="G1154" s="38"/>
      <c r="H1154" s="57"/>
      <c r="I1154" s="38"/>
      <c r="J1154" s="10"/>
      <c r="K1154" s="87"/>
      <c r="L1154" s="87"/>
      <c r="M1154" s="87"/>
    </row>
    <row r="1155" spans="1:16" ht="30" customHeight="1">
      <c r="A1155" s="25" t="s">
        <v>39</v>
      </c>
      <c r="B1155" s="157">
        <v>3</v>
      </c>
      <c r="C1155" s="157">
        <v>3</v>
      </c>
      <c r="D1155" s="33"/>
      <c r="E1155" s="32"/>
      <c r="F1155" s="32"/>
      <c r="G1155" s="32"/>
      <c r="H1155" s="45"/>
      <c r="I1155" s="449"/>
      <c r="J1155" s="10"/>
      <c r="K1155" s="87"/>
      <c r="L1155" s="87"/>
      <c r="M1155" s="87"/>
      <c r="P1155" s="80" t="s">
        <v>125</v>
      </c>
    </row>
    <row r="1156" spans="1:17" ht="30" customHeight="1">
      <c r="A1156" s="25" t="s">
        <v>63</v>
      </c>
      <c r="B1156" s="157">
        <v>182</v>
      </c>
      <c r="C1156" s="157">
        <v>182</v>
      </c>
      <c r="D1156" s="33"/>
      <c r="E1156" s="32"/>
      <c r="F1156" s="32"/>
      <c r="G1156" s="32"/>
      <c r="H1156" s="45"/>
      <c r="I1156" s="449"/>
      <c r="J1156" s="110"/>
      <c r="K1156" s="87"/>
      <c r="L1156" s="87"/>
      <c r="M1156" s="87"/>
      <c r="P1156" s="27" t="s">
        <v>34</v>
      </c>
      <c r="Q1156" s="80">
        <f>++D1228</f>
        <v>40</v>
      </c>
    </row>
    <row r="1157" spans="1:17" ht="30" customHeight="1">
      <c r="A1157" s="102" t="s">
        <v>70</v>
      </c>
      <c r="B1157" s="156">
        <v>5</v>
      </c>
      <c r="C1157" s="156">
        <v>5</v>
      </c>
      <c r="D1157" s="33"/>
      <c r="E1157" s="32"/>
      <c r="F1157" s="32"/>
      <c r="G1157" s="32"/>
      <c r="H1157" s="45"/>
      <c r="I1157" s="449"/>
      <c r="J1157" s="39"/>
      <c r="K1157" s="87"/>
      <c r="L1157" s="87"/>
      <c r="M1157" s="87"/>
      <c r="P1157" s="28" t="s">
        <v>35</v>
      </c>
      <c r="Q1157" s="82">
        <f>+D1173+D1230+B1149+C1212</f>
        <v>140</v>
      </c>
    </row>
    <row r="1158" spans="1:17" ht="30" customHeight="1">
      <c r="A1158" s="692" t="s">
        <v>95</v>
      </c>
      <c r="B1158" s="692"/>
      <c r="C1158" s="692"/>
      <c r="D1158" s="692"/>
      <c r="E1158" s="692"/>
      <c r="F1158" s="692"/>
      <c r="G1158" s="692"/>
      <c r="H1158" s="692"/>
      <c r="I1158" s="692"/>
      <c r="J1158" s="36"/>
      <c r="K1158" s="87"/>
      <c r="L1158" s="87"/>
      <c r="M1158" s="87"/>
      <c r="P1158" s="28" t="s">
        <v>65</v>
      </c>
      <c r="Q1158" s="82">
        <f>C1217</f>
        <v>2.3</v>
      </c>
    </row>
    <row r="1159" spans="1:17" ht="30" customHeight="1">
      <c r="A1159" s="675" t="s">
        <v>474</v>
      </c>
      <c r="B1159" s="675"/>
      <c r="C1159" s="675"/>
      <c r="D1159" s="1" t="s">
        <v>93</v>
      </c>
      <c r="E1159" s="2">
        <v>5.1</v>
      </c>
      <c r="F1159" s="2">
        <v>6.1</v>
      </c>
      <c r="G1159" s="2">
        <v>26</v>
      </c>
      <c r="H1159" s="3">
        <f>E1159*4+F1159*9+G1159*4</f>
        <v>179.3</v>
      </c>
      <c r="I1159" s="297" t="s">
        <v>404</v>
      </c>
      <c r="J1159" s="39"/>
      <c r="K1159" s="87"/>
      <c r="L1159" s="87"/>
      <c r="M1159" s="87"/>
      <c r="P1159" s="29" t="s">
        <v>66</v>
      </c>
      <c r="Q1159" s="82">
        <f>B1153+B1152+C1221</f>
        <v>89</v>
      </c>
    </row>
    <row r="1160" spans="1:16" ht="30" customHeight="1">
      <c r="A1160" s="100" t="s">
        <v>57</v>
      </c>
      <c r="B1160" s="161">
        <v>10</v>
      </c>
      <c r="C1160" s="46">
        <v>10</v>
      </c>
      <c r="D1160" s="50"/>
      <c r="E1160" s="50"/>
      <c r="F1160" s="50"/>
      <c r="G1160" s="50"/>
      <c r="H1160" s="46"/>
      <c r="I1160" s="468"/>
      <c r="J1160" s="39"/>
      <c r="K1160" s="79"/>
      <c r="L1160" s="87"/>
      <c r="M1160" s="87"/>
      <c r="P1160" s="29" t="s">
        <v>59</v>
      </c>
    </row>
    <row r="1161" spans="1:17" ht="30" customHeight="1">
      <c r="A1161" s="100" t="s">
        <v>405</v>
      </c>
      <c r="B1161" s="161">
        <v>10</v>
      </c>
      <c r="C1161" s="46">
        <v>10</v>
      </c>
      <c r="D1161" s="50"/>
      <c r="E1161" s="50"/>
      <c r="F1161" s="50"/>
      <c r="G1161" s="50"/>
      <c r="H1161" s="46"/>
      <c r="I1161" s="468"/>
      <c r="J1161" s="111"/>
      <c r="K1161" s="151"/>
      <c r="L1161" s="87"/>
      <c r="M1161" s="87"/>
      <c r="P1161" s="28" t="s">
        <v>22</v>
      </c>
      <c r="Q1161" s="82">
        <f>+C1191+C1206</f>
        <v>30</v>
      </c>
    </row>
    <row r="1162" spans="1:18" ht="30" customHeight="1">
      <c r="A1162" s="100" t="s">
        <v>406</v>
      </c>
      <c r="B1162" s="161">
        <v>10</v>
      </c>
      <c r="C1162" s="46">
        <v>10</v>
      </c>
      <c r="D1162" s="50"/>
      <c r="E1162" s="50"/>
      <c r="F1162" s="50"/>
      <c r="G1162" s="50"/>
      <c r="H1162" s="46"/>
      <c r="I1162" s="468"/>
      <c r="J1162" s="9"/>
      <c r="K1162" s="151"/>
      <c r="L1162" s="87"/>
      <c r="M1162" s="87"/>
      <c r="O1162" s="83"/>
      <c r="P1162" s="28" t="s">
        <v>24</v>
      </c>
      <c r="Q1162" s="82">
        <f>C1188+C1190+C1195+C1197++C1198+C1177+C1211+C1219</f>
        <v>199.4</v>
      </c>
      <c r="R1162" s="83"/>
    </row>
    <row r="1163" spans="1:18" ht="30" customHeight="1">
      <c r="A1163" s="20" t="s">
        <v>63</v>
      </c>
      <c r="B1163" s="52">
        <v>187</v>
      </c>
      <c r="C1163" s="52">
        <v>187</v>
      </c>
      <c r="D1163" s="453"/>
      <c r="E1163" s="38"/>
      <c r="F1163" s="38"/>
      <c r="G1163" s="38"/>
      <c r="H1163" s="57"/>
      <c r="I1163" s="38"/>
      <c r="J1163" s="36"/>
      <c r="K1163" s="151"/>
      <c r="L1163" s="88"/>
      <c r="M1163" s="87"/>
      <c r="O1163" s="83"/>
      <c r="P1163" s="28" t="s">
        <v>21</v>
      </c>
      <c r="Q1163" s="40">
        <f>+C1225+C1171+D1172</f>
        <v>157</v>
      </c>
      <c r="R1163" s="83"/>
    </row>
    <row r="1164" spans="1:27" s="83" customFormat="1" ht="30" customHeight="1">
      <c r="A1164" s="20" t="s">
        <v>219</v>
      </c>
      <c r="B1164" s="56">
        <v>0.8</v>
      </c>
      <c r="C1164" s="56">
        <v>0.8</v>
      </c>
      <c r="D1164" s="453"/>
      <c r="E1164" s="38"/>
      <c r="F1164" s="38"/>
      <c r="G1164" s="38"/>
      <c r="H1164" s="57"/>
      <c r="I1164" s="38"/>
      <c r="J1164" s="36"/>
      <c r="K1164" s="152"/>
      <c r="L1164" s="88"/>
      <c r="M1164" s="87"/>
      <c r="N1164" s="80"/>
      <c r="O1164" s="80"/>
      <c r="P1164" s="28" t="s">
        <v>25</v>
      </c>
      <c r="Q1164" s="82"/>
      <c r="R1164" s="80"/>
      <c r="S1164" s="80"/>
      <c r="T1164" s="80"/>
      <c r="U1164" s="80"/>
      <c r="V1164" s="80"/>
      <c r="W1164" s="80"/>
      <c r="X1164" s="80"/>
      <c r="Y1164" s="80"/>
      <c r="Z1164" s="80"/>
      <c r="AA1164" s="80"/>
    </row>
    <row r="1165" spans="1:16" ht="30" customHeight="1">
      <c r="A1165" s="100" t="s">
        <v>39</v>
      </c>
      <c r="B1165" s="469">
        <v>3</v>
      </c>
      <c r="C1165" s="58">
        <v>3</v>
      </c>
      <c r="D1165" s="50"/>
      <c r="E1165" s="50"/>
      <c r="F1165" s="50"/>
      <c r="G1165" s="50"/>
      <c r="H1165" s="46"/>
      <c r="I1165" s="320"/>
      <c r="J1165" s="36"/>
      <c r="K1165" s="152"/>
      <c r="L1165" s="87"/>
      <c r="M1165" s="87"/>
      <c r="P1165" s="28" t="s">
        <v>61</v>
      </c>
    </row>
    <row r="1166" spans="1:17" ht="30" customHeight="1">
      <c r="A1166" s="100" t="s">
        <v>40</v>
      </c>
      <c r="B1166" s="280">
        <v>5</v>
      </c>
      <c r="C1166" s="47">
        <v>5</v>
      </c>
      <c r="D1166" s="50"/>
      <c r="E1166" s="50"/>
      <c r="F1166" s="50"/>
      <c r="G1166" s="50"/>
      <c r="H1166" s="46"/>
      <c r="I1166" s="470"/>
      <c r="J1166" s="9"/>
      <c r="K1166" s="151"/>
      <c r="L1166" s="88"/>
      <c r="M1166" s="87"/>
      <c r="P1166" s="28" t="s">
        <v>20</v>
      </c>
      <c r="Q1166" s="82">
        <f>+C1200+C1227+C1155+C1170</f>
        <v>38.5</v>
      </c>
    </row>
    <row r="1167" spans="1:17" ht="30" customHeight="1">
      <c r="A1167" s="674" t="s">
        <v>618</v>
      </c>
      <c r="B1167" s="674"/>
      <c r="C1167" s="674"/>
      <c r="D1167" s="632">
        <v>40</v>
      </c>
      <c r="E1167" s="2">
        <v>5.1</v>
      </c>
      <c r="F1167" s="2">
        <v>4.05</v>
      </c>
      <c r="G1167" s="2">
        <v>0.25</v>
      </c>
      <c r="H1167" s="3">
        <f>E1167*4+F1167*9+G1167*4</f>
        <v>57.849999999999994</v>
      </c>
      <c r="I1167" s="302" t="s">
        <v>296</v>
      </c>
      <c r="J1167" s="9"/>
      <c r="K1167" s="151"/>
      <c r="L1167" s="88"/>
      <c r="M1167" s="87"/>
      <c r="P1167" s="28" t="s">
        <v>26</v>
      </c>
      <c r="Q1167" s="80">
        <f>C1150</f>
        <v>30</v>
      </c>
    </row>
    <row r="1168" spans="1:16" ht="30" customHeight="1">
      <c r="A1168" s="410" t="s">
        <v>371</v>
      </c>
      <c r="B1168" s="410"/>
      <c r="C1168" s="410"/>
      <c r="D1168" s="244" t="s">
        <v>348</v>
      </c>
      <c r="E1168" s="277">
        <v>0.3</v>
      </c>
      <c r="F1168" s="277">
        <v>0</v>
      </c>
      <c r="G1168" s="277">
        <v>15.2</v>
      </c>
      <c r="H1168" s="3">
        <f>G1168*4+F1168*9+E1168*4</f>
        <v>62</v>
      </c>
      <c r="I1168" s="302" t="s">
        <v>372</v>
      </c>
      <c r="J1168" s="36"/>
      <c r="K1168" s="151"/>
      <c r="L1168" s="88"/>
      <c r="M1168" s="87"/>
      <c r="P1168" s="27" t="s">
        <v>79</v>
      </c>
    </row>
    <row r="1169" spans="1:17" ht="30" customHeight="1">
      <c r="A1169" s="102" t="s">
        <v>113</v>
      </c>
      <c r="B1169" s="57">
        <v>2</v>
      </c>
      <c r="C1169" s="57">
        <v>2</v>
      </c>
      <c r="D1169" s="22"/>
      <c r="E1169" s="43"/>
      <c r="F1169" s="43"/>
      <c r="G1169" s="2"/>
      <c r="H1169" s="3"/>
      <c r="I1169" s="408"/>
      <c r="J1169" s="36"/>
      <c r="K1169" s="151"/>
      <c r="L1169" s="153"/>
      <c r="M1169" s="87"/>
      <c r="P1169" s="28" t="s">
        <v>27</v>
      </c>
      <c r="Q1169" s="81">
        <f>B1169</f>
        <v>2</v>
      </c>
    </row>
    <row r="1170" spans="1:17" ht="30" customHeight="1">
      <c r="A1170" s="20" t="s">
        <v>39</v>
      </c>
      <c r="B1170" s="58">
        <v>15</v>
      </c>
      <c r="C1170" s="58">
        <v>15</v>
      </c>
      <c r="D1170" s="58"/>
      <c r="E1170" s="38"/>
      <c r="F1170" s="38"/>
      <c r="G1170" s="38"/>
      <c r="H1170" s="57"/>
      <c r="I1170" s="38"/>
      <c r="J1170" s="9"/>
      <c r="K1170" s="151"/>
      <c r="L1170" s="87"/>
      <c r="M1170" s="87"/>
      <c r="P1170" s="27" t="s">
        <v>199</v>
      </c>
      <c r="Q1170" s="262"/>
    </row>
    <row r="1171" spans="1:17" ht="30" customHeight="1">
      <c r="A1171" s="20" t="s">
        <v>41</v>
      </c>
      <c r="B1171" s="22">
        <v>8</v>
      </c>
      <c r="C1171" s="22">
        <v>7</v>
      </c>
      <c r="D1171" s="22"/>
      <c r="E1171" s="43"/>
      <c r="F1171" s="43"/>
      <c r="G1171" s="2"/>
      <c r="H1171" s="3"/>
      <c r="I1171" s="409"/>
      <c r="J1171" s="9"/>
      <c r="M1171" s="87"/>
      <c r="P1171" s="28" t="s">
        <v>67</v>
      </c>
      <c r="Q1171" s="82">
        <f>C1181+C1203+C1205</f>
        <v>100</v>
      </c>
    </row>
    <row r="1172" spans="1:17" ht="30" customHeight="1">
      <c r="A1172" s="683" t="s">
        <v>239</v>
      </c>
      <c r="B1172" s="683"/>
      <c r="C1172" s="683"/>
      <c r="D1172" s="4">
        <v>130</v>
      </c>
      <c r="E1172" s="222">
        <v>0.6</v>
      </c>
      <c r="F1172" s="222">
        <v>0.5</v>
      </c>
      <c r="G1172" s="222">
        <v>28</v>
      </c>
      <c r="H1172" s="3">
        <f>G1172*4+F1172*9+E1172*4</f>
        <v>118.9</v>
      </c>
      <c r="I1172" s="294" t="s">
        <v>224</v>
      </c>
      <c r="J1172" s="9"/>
      <c r="M1172" s="87"/>
      <c r="P1172" s="27" t="s">
        <v>200</v>
      </c>
      <c r="Q1172" s="263"/>
    </row>
    <row r="1173" spans="1:17" ht="30" customHeight="1">
      <c r="A1173" s="674" t="s">
        <v>74</v>
      </c>
      <c r="B1173" s="674"/>
      <c r="C1173" s="674"/>
      <c r="D1173" s="3">
        <v>40</v>
      </c>
      <c r="E1173" s="2">
        <v>2</v>
      </c>
      <c r="F1173" s="2">
        <v>0.56</v>
      </c>
      <c r="G1173" s="2">
        <v>16.2</v>
      </c>
      <c r="H1173" s="3">
        <v>77.84</v>
      </c>
      <c r="I1173" s="294"/>
      <c r="J1173" s="9"/>
      <c r="M1173" s="87"/>
      <c r="P1173" s="27" t="s">
        <v>62</v>
      </c>
      <c r="Q1173" s="82"/>
    </row>
    <row r="1174" spans="1:27" s="83" customFormat="1" ht="30" customHeight="1">
      <c r="A1174" s="675" t="s">
        <v>72</v>
      </c>
      <c r="B1174" s="675"/>
      <c r="C1174" s="675"/>
      <c r="D1174" s="1">
        <v>40</v>
      </c>
      <c r="E1174" s="2"/>
      <c r="F1174" s="2"/>
      <c r="G1174" s="2"/>
      <c r="H1174" s="3"/>
      <c r="I1174" s="294"/>
      <c r="J1174" s="9"/>
      <c r="M1174" s="87"/>
      <c r="N1174" s="80"/>
      <c r="O1174" s="80"/>
      <c r="P1174" s="28" t="s">
        <v>28</v>
      </c>
      <c r="Q1174" s="82"/>
      <c r="R1174" s="80"/>
      <c r="S1174" s="80"/>
      <c r="T1174" s="80"/>
      <c r="U1174" s="80"/>
      <c r="V1174" s="80"/>
      <c r="W1174" s="80"/>
      <c r="X1174" s="80"/>
      <c r="Y1174" s="80"/>
      <c r="Z1174" s="80"/>
      <c r="AA1174" s="80"/>
    </row>
    <row r="1175" spans="1:17" ht="30" customHeight="1">
      <c r="A1175" s="690" t="s">
        <v>205</v>
      </c>
      <c r="B1175" s="690"/>
      <c r="C1175" s="690"/>
      <c r="D1175" s="243">
        <f>D1176+265+130+D1220+D1224</f>
        <v>875</v>
      </c>
      <c r="E1175" s="71">
        <f>E1176+E1180+E1202+E1220+E1224+E1228+E1230</f>
        <v>30.964615384615385</v>
      </c>
      <c r="F1175" s="71">
        <f>F1176+F1180+F1202+F1220+F1224+F1228+F1230</f>
        <v>28.6454945054945</v>
      </c>
      <c r="G1175" s="71">
        <f>G1176+G1180+G1202+G1220+G1224+G1228+G1230</f>
        <v>130.73934065934066</v>
      </c>
      <c r="H1175" s="71">
        <f>H1176+H1180+H1202+H1220+H1224+H1228+H1230</f>
        <v>904.6252747252747</v>
      </c>
      <c r="I1175" s="293"/>
      <c r="J1175" s="9"/>
      <c r="M1175" s="87"/>
      <c r="P1175" s="30" t="s">
        <v>29</v>
      </c>
      <c r="Q1175" s="82">
        <f>+C1156</f>
        <v>182</v>
      </c>
    </row>
    <row r="1176" spans="1:17" ht="30" customHeight="1">
      <c r="A1176" s="684" t="s">
        <v>252</v>
      </c>
      <c r="B1176" s="684"/>
      <c r="C1176" s="684"/>
      <c r="D1176" s="1">
        <v>100</v>
      </c>
      <c r="E1176" s="2">
        <v>1</v>
      </c>
      <c r="F1176" s="2">
        <v>5.1</v>
      </c>
      <c r="G1176" s="2">
        <v>3.5</v>
      </c>
      <c r="H1176" s="3">
        <f>E1176*4+F1176*9+G1176*4</f>
        <v>63.9</v>
      </c>
      <c r="I1176" s="294" t="s">
        <v>253</v>
      </c>
      <c r="J1176" s="9"/>
      <c r="M1176" s="87"/>
      <c r="P1176" s="72" t="s">
        <v>85</v>
      </c>
      <c r="Q1176" s="82"/>
    </row>
    <row r="1177" spans="1:27" s="40" customFormat="1" ht="30" customHeight="1">
      <c r="A1177" s="25" t="s">
        <v>75</v>
      </c>
      <c r="B1177" s="49">
        <f>C1177*1.02</f>
        <v>96.9</v>
      </c>
      <c r="C1177" s="149">
        <v>95</v>
      </c>
      <c r="D1177" s="164"/>
      <c r="E1177" s="2"/>
      <c r="F1177" s="2"/>
      <c r="G1177" s="2"/>
      <c r="H1177" s="3"/>
      <c r="I1177" s="294"/>
      <c r="J1177" s="9"/>
      <c r="M1177" s="87"/>
      <c r="N1177" s="80"/>
      <c r="O1177" s="80"/>
      <c r="P1177" s="27" t="s">
        <v>30</v>
      </c>
      <c r="Q1177" s="82"/>
      <c r="R1177" s="80"/>
      <c r="S1177" s="80"/>
      <c r="T1177" s="80"/>
      <c r="U1177" s="80"/>
      <c r="V1177" s="80"/>
      <c r="W1177" s="80"/>
      <c r="X1177" s="80"/>
      <c r="Y1177" s="80"/>
      <c r="Z1177" s="80"/>
      <c r="AA1177" s="80"/>
    </row>
    <row r="1178" spans="1:17" ht="30" customHeight="1">
      <c r="A1178" s="102" t="s">
        <v>89</v>
      </c>
      <c r="B1178" s="157">
        <f>C1178*1.18</f>
        <v>112.1</v>
      </c>
      <c r="C1178" s="149">
        <v>95</v>
      </c>
      <c r="D1178" s="164"/>
      <c r="E1178" s="2"/>
      <c r="F1178" s="2"/>
      <c r="G1178" s="2"/>
      <c r="H1178" s="3"/>
      <c r="I1178" s="294"/>
      <c r="J1178" s="9"/>
      <c r="M1178" s="87"/>
      <c r="P1178" s="27" t="s">
        <v>31</v>
      </c>
      <c r="Q1178" s="82">
        <f>+C1201+C1216</f>
        <v>13</v>
      </c>
    </row>
    <row r="1179" spans="1:17" ht="30" customHeight="1">
      <c r="A1179" s="165" t="s">
        <v>118</v>
      </c>
      <c r="B1179" s="166">
        <v>5</v>
      </c>
      <c r="C1179" s="166">
        <v>5</v>
      </c>
      <c r="D1179" s="164"/>
      <c r="E1179" s="2"/>
      <c r="F1179" s="2"/>
      <c r="G1179" s="2"/>
      <c r="H1179" s="3"/>
      <c r="I1179" s="304"/>
      <c r="J1179" s="9"/>
      <c r="M1179" s="87"/>
      <c r="P1179" s="28" t="s">
        <v>68</v>
      </c>
      <c r="Q1179" s="82"/>
    </row>
    <row r="1180" spans="1:18" ht="30" customHeight="1">
      <c r="A1180" s="683" t="s">
        <v>465</v>
      </c>
      <c r="B1180" s="683"/>
      <c r="C1180" s="683"/>
      <c r="D1180" s="1" t="s">
        <v>206</v>
      </c>
      <c r="E1180" s="21">
        <v>4.8</v>
      </c>
      <c r="F1180" s="21">
        <v>5.8</v>
      </c>
      <c r="G1180" s="21">
        <v>16.7</v>
      </c>
      <c r="H1180" s="238">
        <f>E1180*4+F1180*9+G1180*4</f>
        <v>138.2</v>
      </c>
      <c r="I1180" s="300" t="s">
        <v>233</v>
      </c>
      <c r="J1180" s="9"/>
      <c r="K1180" s="80" t="s">
        <v>126</v>
      </c>
      <c r="M1180" s="87"/>
      <c r="O1180" s="83"/>
      <c r="P1180" s="27" t="s">
        <v>32</v>
      </c>
      <c r="Q1180" s="82">
        <f>+C1199++B1157+C1223</f>
        <v>15</v>
      </c>
      <c r="R1180" s="83"/>
    </row>
    <row r="1181" spans="1:17" ht="30" customHeight="1">
      <c r="A1181" s="132" t="s">
        <v>45</v>
      </c>
      <c r="B1181" s="37">
        <f>C1181*1.36</f>
        <v>21.76</v>
      </c>
      <c r="C1181" s="45">
        <v>16</v>
      </c>
      <c r="D1181" s="23"/>
      <c r="E1181" s="242"/>
      <c r="F1181" s="242"/>
      <c r="G1181" s="242"/>
      <c r="H1181" s="238"/>
      <c r="I1181" s="300"/>
      <c r="J1181" s="9"/>
      <c r="K1181" s="27" t="s">
        <v>34</v>
      </c>
      <c r="L1181" s="80">
        <f>+D1254+D1380</f>
        <v>60</v>
      </c>
      <c r="M1181" s="87"/>
      <c r="P1181" s="27" t="s">
        <v>23</v>
      </c>
      <c r="Q1181" s="82">
        <f>C1179+C1213</f>
        <v>8</v>
      </c>
    </row>
    <row r="1182" spans="1:17" ht="30" customHeight="1">
      <c r="A1182" s="132" t="s">
        <v>46</v>
      </c>
      <c r="B1182" s="159">
        <f>C1182*1.18</f>
        <v>18.88</v>
      </c>
      <c r="C1182" s="45">
        <v>16</v>
      </c>
      <c r="D1182" s="239"/>
      <c r="E1182" s="284"/>
      <c r="F1182" s="285"/>
      <c r="G1182" s="285"/>
      <c r="H1182" s="536"/>
      <c r="I1182" s="286"/>
      <c r="J1182" s="9"/>
      <c r="K1182" s="28" t="s">
        <v>35</v>
      </c>
      <c r="L1182" s="82">
        <f>+D1300+C1241+C1282</f>
        <v>97</v>
      </c>
      <c r="M1182" s="87"/>
      <c r="P1182" s="28" t="s">
        <v>33</v>
      </c>
      <c r="Q1182" s="82">
        <f>D1167+B1210</f>
        <v>49</v>
      </c>
    </row>
    <row r="1183" spans="1:17" ht="30" customHeight="1">
      <c r="A1183" s="692" t="s">
        <v>95</v>
      </c>
      <c r="B1183" s="692"/>
      <c r="C1183" s="692"/>
      <c r="D1183" s="692"/>
      <c r="E1183" s="692"/>
      <c r="F1183" s="692"/>
      <c r="G1183" s="692"/>
      <c r="H1183" s="692"/>
      <c r="I1183" s="692"/>
      <c r="J1183" s="9"/>
      <c r="K1183" s="28" t="s">
        <v>65</v>
      </c>
      <c r="L1183" s="82">
        <f>+C1245+C1286</f>
        <v>16</v>
      </c>
      <c r="M1183" s="87"/>
      <c r="P1183" s="28" t="s">
        <v>78</v>
      </c>
      <c r="Q1183" s="81"/>
    </row>
    <row r="1184" spans="1:16" ht="30" customHeight="1">
      <c r="A1184" s="683" t="s">
        <v>619</v>
      </c>
      <c r="B1184" s="683"/>
      <c r="C1184" s="683"/>
      <c r="D1184" s="1" t="s">
        <v>206</v>
      </c>
      <c r="E1184" s="21">
        <v>5.5</v>
      </c>
      <c r="F1184" s="21">
        <v>5.9</v>
      </c>
      <c r="G1184" s="21">
        <v>16.7</v>
      </c>
      <c r="H1184" s="238">
        <f>E1184*4+F1184*9+G1184*4</f>
        <v>141.89999999999998</v>
      </c>
      <c r="I1184" s="300" t="s">
        <v>233</v>
      </c>
      <c r="J1184" s="9"/>
      <c r="K1184" s="29" t="s">
        <v>66</v>
      </c>
      <c r="L1184" s="82">
        <f>C1289</f>
        <v>45</v>
      </c>
      <c r="M1184" s="87"/>
      <c r="P1184" s="264" t="s">
        <v>193</v>
      </c>
    </row>
    <row r="1185" spans="1:13" ht="30" customHeight="1">
      <c r="A1185" s="54" t="s">
        <v>460</v>
      </c>
      <c r="B1185" s="37">
        <v>29</v>
      </c>
      <c r="C1185" s="24">
        <v>26</v>
      </c>
      <c r="D1185" s="33"/>
      <c r="E1185" s="270"/>
      <c r="F1185" s="32"/>
      <c r="G1185" s="32"/>
      <c r="H1185" s="45"/>
      <c r="I1185" s="302"/>
      <c r="J1185" s="9"/>
      <c r="K1185" s="29" t="s">
        <v>59</v>
      </c>
      <c r="L1185" s="82">
        <f>C1249</f>
        <v>64</v>
      </c>
      <c r="M1185" s="87"/>
    </row>
    <row r="1186" spans="1:13" ht="30" customHeight="1">
      <c r="A1186" s="54" t="s">
        <v>459</v>
      </c>
      <c r="B1186" s="37">
        <f>C1186*1.04</f>
        <v>18.72</v>
      </c>
      <c r="C1186" s="24">
        <v>18</v>
      </c>
      <c r="D1186" s="420"/>
      <c r="E1186" s="421"/>
      <c r="F1186" s="38"/>
      <c r="G1186" s="38"/>
      <c r="H1186" s="104"/>
      <c r="I1186" s="422"/>
      <c r="J1186" s="9"/>
      <c r="K1186" s="28" t="s">
        <v>22</v>
      </c>
      <c r="L1186" s="82">
        <f>C1266</f>
        <v>38</v>
      </c>
      <c r="M1186" s="87"/>
    </row>
    <row r="1187" spans="1:13" ht="30" customHeight="1">
      <c r="A1187" s="171" t="s">
        <v>457</v>
      </c>
      <c r="B1187" s="126">
        <f>C1187*1.054</f>
        <v>14.756</v>
      </c>
      <c r="C1187" s="23">
        <v>14</v>
      </c>
      <c r="D1187" s="282"/>
      <c r="E1187" s="440"/>
      <c r="F1187" s="33"/>
      <c r="G1187" s="33"/>
      <c r="H1187" s="24"/>
      <c r="I1187" s="441"/>
      <c r="J1187" s="9"/>
      <c r="K1187" s="28" t="s">
        <v>24</v>
      </c>
      <c r="L1187" s="81">
        <f>C1259+C1260+++C1265+C1270+C1274++C1242++C1284</f>
        <v>164</v>
      </c>
      <c r="M1187" s="87"/>
    </row>
    <row r="1188" spans="1:27" s="98" customFormat="1" ht="30" customHeight="1">
      <c r="A1188" s="53" t="s">
        <v>147</v>
      </c>
      <c r="B1188" s="107">
        <f>C1188*1.25</f>
        <v>50</v>
      </c>
      <c r="C1188" s="175">
        <v>40</v>
      </c>
      <c r="D1188" s="1"/>
      <c r="E1188" s="2"/>
      <c r="F1188" s="2"/>
      <c r="G1188" s="21"/>
      <c r="H1188" s="3"/>
      <c r="I1188" s="306"/>
      <c r="J1188" s="9"/>
      <c r="K1188" s="28" t="s">
        <v>21</v>
      </c>
      <c r="L1188" s="80">
        <f>C1293</f>
        <v>24</v>
      </c>
      <c r="M1188" s="87"/>
      <c r="N1188" s="80"/>
      <c r="O1188" s="80"/>
      <c r="P1188" s="80"/>
      <c r="Q1188" s="80"/>
      <c r="R1188" s="80"/>
      <c r="S1188" s="80"/>
      <c r="T1188" s="80"/>
      <c r="U1188" s="80"/>
      <c r="V1188" s="80"/>
      <c r="W1188" s="80"/>
      <c r="X1188" s="80"/>
      <c r="Y1188" s="80"/>
      <c r="Z1188" s="80"/>
      <c r="AA1188" s="80"/>
    </row>
    <row r="1189" spans="1:13" ht="30" customHeight="1">
      <c r="A1189" s="59" t="s">
        <v>43</v>
      </c>
      <c r="B1189" s="107">
        <f>C1189*1.33</f>
        <v>53.2</v>
      </c>
      <c r="C1189" s="175">
        <v>40</v>
      </c>
      <c r="D1189" s="632"/>
      <c r="E1189" s="21"/>
      <c r="F1189" s="21"/>
      <c r="G1189" s="21"/>
      <c r="H1189" s="238"/>
      <c r="I1189" s="306"/>
      <c r="J1189" s="9"/>
      <c r="K1189" s="28" t="s">
        <v>25</v>
      </c>
      <c r="L1189" s="81"/>
      <c r="M1189" s="87"/>
    </row>
    <row r="1190" spans="1:13" ht="30" customHeight="1">
      <c r="A1190" s="59" t="s">
        <v>55</v>
      </c>
      <c r="B1190" s="57">
        <f>C1190*1.25</f>
        <v>25</v>
      </c>
      <c r="C1190" s="175">
        <v>20</v>
      </c>
      <c r="D1190" s="632"/>
      <c r="E1190" s="21"/>
      <c r="F1190" s="21"/>
      <c r="G1190" s="21"/>
      <c r="H1190" s="238"/>
      <c r="I1190" s="306"/>
      <c r="J1190" s="9"/>
      <c r="K1190" s="28" t="s">
        <v>61</v>
      </c>
      <c r="M1190" s="87"/>
    </row>
    <row r="1191" spans="1:13" ht="30" customHeight="1">
      <c r="A1191" s="89" t="s">
        <v>47</v>
      </c>
      <c r="B1191" s="57">
        <f>C1191*1.33</f>
        <v>26.6</v>
      </c>
      <c r="C1191" s="175">
        <v>20</v>
      </c>
      <c r="D1191" s="287"/>
      <c r="E1191" s="288"/>
      <c r="F1191" s="288"/>
      <c r="G1191" s="288"/>
      <c r="H1191" s="535"/>
      <c r="I1191" s="300"/>
      <c r="J1191" s="9"/>
      <c r="K1191" s="28" t="s">
        <v>20</v>
      </c>
      <c r="L1191" s="82">
        <f>+C1253++C1296</f>
        <v>30</v>
      </c>
      <c r="M1191" s="87"/>
    </row>
    <row r="1192" spans="1:13" ht="30" customHeight="1">
      <c r="A1192" s="89" t="s">
        <v>48</v>
      </c>
      <c r="B1192" s="57">
        <f>C1192*1.43</f>
        <v>28.599999999999998</v>
      </c>
      <c r="C1192" s="175">
        <v>20</v>
      </c>
      <c r="D1192" s="287"/>
      <c r="E1192" s="288"/>
      <c r="F1192" s="32"/>
      <c r="G1192" s="283"/>
      <c r="H1192" s="454"/>
      <c r="I1192" s="300"/>
      <c r="J1192" s="9"/>
      <c r="K1192" s="28" t="s">
        <v>26</v>
      </c>
      <c r="L1192" s="587" t="str">
        <f>D1237</f>
        <v>65</v>
      </c>
      <c r="M1192" s="87"/>
    </row>
    <row r="1193" spans="1:13" ht="30" customHeight="1">
      <c r="A1193" s="89" t="s">
        <v>49</v>
      </c>
      <c r="B1193" s="57">
        <f>C1193*1.54</f>
        <v>30.8</v>
      </c>
      <c r="C1193" s="175">
        <v>20</v>
      </c>
      <c r="D1193" s="287"/>
      <c r="E1193" s="288"/>
      <c r="F1193" s="32"/>
      <c r="G1193" s="283"/>
      <c r="H1193" s="454"/>
      <c r="I1193" s="300"/>
      <c r="J1193" s="9"/>
      <c r="K1193" s="27" t="s">
        <v>79</v>
      </c>
      <c r="M1193" s="87"/>
    </row>
    <row r="1194" spans="1:13" ht="30" customHeight="1">
      <c r="A1194" s="89" t="s">
        <v>50</v>
      </c>
      <c r="B1194" s="57">
        <f>C1194*1.67</f>
        <v>33.4</v>
      </c>
      <c r="C1194" s="175">
        <v>20</v>
      </c>
      <c r="D1194" s="287"/>
      <c r="E1194" s="288"/>
      <c r="F1194" s="32"/>
      <c r="G1194" s="283"/>
      <c r="H1194" s="454"/>
      <c r="I1194" s="300"/>
      <c r="J1194" s="9"/>
      <c r="K1194" s="28" t="s">
        <v>27</v>
      </c>
      <c r="L1194" s="80">
        <f>C1252</f>
        <v>2</v>
      </c>
      <c r="M1194" s="87"/>
    </row>
    <row r="1195" spans="1:13" ht="30" customHeight="1">
      <c r="A1195" s="53" t="s">
        <v>112</v>
      </c>
      <c r="B1195" s="57">
        <f>C1195*1.25</f>
        <v>16.25</v>
      </c>
      <c r="C1195" s="175">
        <v>13</v>
      </c>
      <c r="D1195" s="287"/>
      <c r="E1195" s="288"/>
      <c r="F1195" s="32"/>
      <c r="G1195" s="283"/>
      <c r="H1195" s="454"/>
      <c r="I1195" s="300"/>
      <c r="J1195" s="9"/>
      <c r="K1195" s="27" t="s">
        <v>199</v>
      </c>
      <c r="L1195" s="262"/>
      <c r="M1195" s="87"/>
    </row>
    <row r="1196" spans="1:13" ht="30" customHeight="1">
      <c r="A1196" s="59" t="s">
        <v>43</v>
      </c>
      <c r="B1196" s="57">
        <f>C1196*1.33</f>
        <v>17.29</v>
      </c>
      <c r="C1196" s="175">
        <v>13</v>
      </c>
      <c r="D1196" s="287"/>
      <c r="E1196" s="288"/>
      <c r="F1196" s="32"/>
      <c r="G1196" s="283"/>
      <c r="H1196" s="454"/>
      <c r="I1196" s="300"/>
      <c r="J1196" s="9"/>
      <c r="K1196" s="28" t="s">
        <v>67</v>
      </c>
      <c r="L1196" s="82">
        <f>C1279+C1280+C1263</f>
        <v>90</v>
      </c>
      <c r="M1196" s="87"/>
    </row>
    <row r="1197" spans="1:13" ht="30" customHeight="1">
      <c r="A1197" s="89" t="s">
        <v>51</v>
      </c>
      <c r="B1197" s="57">
        <f>C1197*1.19</f>
        <v>11.899999999999999</v>
      </c>
      <c r="C1197" s="175">
        <v>10</v>
      </c>
      <c r="D1197" s="287"/>
      <c r="E1197" s="288"/>
      <c r="F1197" s="32"/>
      <c r="G1197" s="283"/>
      <c r="H1197" s="454"/>
      <c r="I1197" s="300"/>
      <c r="J1197" s="9"/>
      <c r="K1197" s="27" t="s">
        <v>200</v>
      </c>
      <c r="L1197" s="263"/>
      <c r="M1197" s="87"/>
    </row>
    <row r="1198" spans="1:13" ht="30" customHeight="1">
      <c r="A1198" s="89" t="s">
        <v>83</v>
      </c>
      <c r="B1198" s="107">
        <v>6.4</v>
      </c>
      <c r="C1198" s="107">
        <v>6.4</v>
      </c>
      <c r="D1198" s="632"/>
      <c r="E1198" s="21"/>
      <c r="F1198" s="21"/>
      <c r="G1198" s="21"/>
      <c r="H1198" s="238"/>
      <c r="I1198" s="306"/>
      <c r="J1198" s="9"/>
      <c r="K1198" s="27" t="s">
        <v>62</v>
      </c>
      <c r="L1198" s="82">
        <f>+C1239</f>
        <v>67</v>
      </c>
      <c r="M1198" s="87"/>
    </row>
    <row r="1199" spans="1:13" ht="30" customHeight="1">
      <c r="A1199" s="89" t="s">
        <v>40</v>
      </c>
      <c r="B1199" s="58">
        <v>5</v>
      </c>
      <c r="C1199" s="58">
        <v>5</v>
      </c>
      <c r="D1199" s="45"/>
      <c r="E1199" s="32"/>
      <c r="F1199" s="21"/>
      <c r="G1199" s="32"/>
      <c r="H1199" s="45"/>
      <c r="I1199" s="300"/>
      <c r="J1199" s="9"/>
      <c r="K1199" s="28" t="s">
        <v>28</v>
      </c>
      <c r="L1199" s="82"/>
      <c r="M1199" s="87"/>
    </row>
    <row r="1200" spans="1:13" ht="30" customHeight="1">
      <c r="A1200" s="59" t="s">
        <v>39</v>
      </c>
      <c r="B1200" s="269">
        <v>0.5</v>
      </c>
      <c r="C1200" s="269">
        <v>0.5</v>
      </c>
      <c r="D1200" s="632"/>
      <c r="E1200" s="21"/>
      <c r="F1200" s="21"/>
      <c r="G1200" s="21"/>
      <c r="H1200" s="238"/>
      <c r="I1200" s="306"/>
      <c r="J1200" s="9"/>
      <c r="K1200" s="30" t="s">
        <v>29</v>
      </c>
      <c r="L1200" s="82">
        <f>C1243+C1283</f>
        <v>32</v>
      </c>
      <c r="M1200" s="87"/>
    </row>
    <row r="1201" spans="1:13" ht="31.5" customHeight="1">
      <c r="A1201" s="89" t="s">
        <v>52</v>
      </c>
      <c r="B1201" s="58">
        <v>5</v>
      </c>
      <c r="C1201" s="58">
        <v>5</v>
      </c>
      <c r="D1201" s="276"/>
      <c r="E1201" s="242"/>
      <c r="F1201" s="242"/>
      <c r="G1201" s="242"/>
      <c r="H1201" s="238"/>
      <c r="I1201" s="306"/>
      <c r="J1201" s="112"/>
      <c r="K1201" s="72" t="s">
        <v>85</v>
      </c>
      <c r="L1201" s="82"/>
      <c r="M1201" s="87"/>
    </row>
    <row r="1202" spans="1:13" ht="31.5" customHeight="1">
      <c r="A1202" s="671" t="s">
        <v>616</v>
      </c>
      <c r="B1202" s="671"/>
      <c r="C1202" s="671"/>
      <c r="D1202" s="632" t="s">
        <v>424</v>
      </c>
      <c r="E1202" s="21">
        <v>13</v>
      </c>
      <c r="F1202" s="21">
        <v>12.428571428571427</v>
      </c>
      <c r="G1202" s="21">
        <v>7.428571428571429</v>
      </c>
      <c r="H1202" s="396">
        <f>G1202*4+F1202*9+E1202*4</f>
        <v>193.57142857142856</v>
      </c>
      <c r="I1202" s="471" t="s">
        <v>421</v>
      </c>
      <c r="J1202" s="9"/>
      <c r="K1202" s="27" t="s">
        <v>30</v>
      </c>
      <c r="L1202" s="82"/>
      <c r="M1202" s="87"/>
    </row>
    <row r="1203" spans="1:18" ht="31.5" customHeight="1">
      <c r="A1203" s="54" t="s">
        <v>328</v>
      </c>
      <c r="B1203" s="37">
        <f>C1203*1.17</f>
        <v>49.14</v>
      </c>
      <c r="C1203" s="45">
        <v>42</v>
      </c>
      <c r="D1203" s="23"/>
      <c r="E1203" s="32"/>
      <c r="F1203" s="32"/>
      <c r="G1203" s="32"/>
      <c r="H1203" s="45"/>
      <c r="I1203" s="509"/>
      <c r="J1203" s="9"/>
      <c r="K1203" s="27" t="s">
        <v>31</v>
      </c>
      <c r="L1203" s="82"/>
      <c r="M1203" s="87"/>
      <c r="O1203" s="83"/>
      <c r="P1203" s="83"/>
      <c r="Q1203" s="83"/>
      <c r="R1203" s="83"/>
    </row>
    <row r="1204" spans="1:13" ht="31.5" customHeight="1">
      <c r="A1204" s="54" t="s">
        <v>45</v>
      </c>
      <c r="B1204" s="37">
        <f>C1204*1.36</f>
        <v>57.120000000000005</v>
      </c>
      <c r="C1204" s="45">
        <v>42</v>
      </c>
      <c r="D1204" s="23"/>
      <c r="E1204" s="435"/>
      <c r="F1204" s="435"/>
      <c r="G1204" s="435"/>
      <c r="H1204" s="622"/>
      <c r="I1204" s="623"/>
      <c r="J1204" s="9"/>
      <c r="K1204" s="28" t="s">
        <v>68</v>
      </c>
      <c r="L1204" s="82"/>
      <c r="M1204" s="87"/>
    </row>
    <row r="1205" spans="1:13" ht="31.5" customHeight="1">
      <c r="A1205" s="54" t="s">
        <v>46</v>
      </c>
      <c r="B1205" s="37">
        <f>C1205*1.18</f>
        <v>49.559999999999995</v>
      </c>
      <c r="C1205" s="45">
        <v>42</v>
      </c>
      <c r="D1205" s="23"/>
      <c r="E1205" s="242"/>
      <c r="F1205" s="242"/>
      <c r="G1205" s="242"/>
      <c r="H1205" s="238"/>
      <c r="I1205" s="300"/>
      <c r="J1205" s="9"/>
      <c r="K1205" s="27" t="s">
        <v>32</v>
      </c>
      <c r="L1205" s="82">
        <f>6+C1247++C1277+C1250+C1291</f>
        <v>26</v>
      </c>
      <c r="M1205" s="87"/>
    </row>
    <row r="1206" spans="1:13" ht="31.5" customHeight="1">
      <c r="A1206" s="53" t="s">
        <v>47</v>
      </c>
      <c r="B1206" s="45">
        <f>C1206*1.33</f>
        <v>13.3</v>
      </c>
      <c r="C1206" s="45">
        <v>10</v>
      </c>
      <c r="D1206" s="23"/>
      <c r="E1206" s="32"/>
      <c r="F1206" s="32"/>
      <c r="G1206" s="32"/>
      <c r="H1206" s="45"/>
      <c r="I1206" s="286"/>
      <c r="J1206" s="9"/>
      <c r="K1206" s="27" t="s">
        <v>23</v>
      </c>
      <c r="L1206" s="82">
        <f>C1261++C1246</f>
        <v>7</v>
      </c>
      <c r="M1206" s="87"/>
    </row>
    <row r="1207" spans="1:13" ht="31.5" customHeight="1">
      <c r="A1207" s="20" t="s">
        <v>48</v>
      </c>
      <c r="B1207" s="43">
        <f>C1207*1.43</f>
        <v>14.299999999999999</v>
      </c>
      <c r="C1207" s="45">
        <v>10</v>
      </c>
      <c r="D1207" s="23"/>
      <c r="E1207" s="32"/>
      <c r="F1207" s="32"/>
      <c r="G1207" s="285"/>
      <c r="H1207" s="536"/>
      <c r="I1207" s="286"/>
      <c r="J1207" s="9"/>
      <c r="K1207" s="28" t="s">
        <v>33</v>
      </c>
      <c r="L1207" s="82">
        <f>B1244+B1285</f>
        <v>11</v>
      </c>
      <c r="M1207" s="87"/>
    </row>
    <row r="1208" spans="1:13" ht="31.5" customHeight="1">
      <c r="A1208" s="20" t="s">
        <v>49</v>
      </c>
      <c r="B1208" s="43">
        <f>C1208*1.54</f>
        <v>15.4</v>
      </c>
      <c r="C1208" s="45">
        <v>10</v>
      </c>
      <c r="D1208" s="23"/>
      <c r="E1208" s="32"/>
      <c r="F1208" s="32"/>
      <c r="G1208" s="283"/>
      <c r="H1208" s="454"/>
      <c r="I1208" s="624"/>
      <c r="J1208" s="9"/>
      <c r="K1208" s="28" t="s">
        <v>78</v>
      </c>
      <c r="M1208" s="87"/>
    </row>
    <row r="1209" spans="1:13" ht="31.5" customHeight="1">
      <c r="A1209" s="20" t="s">
        <v>50</v>
      </c>
      <c r="B1209" s="26">
        <f>C1209*1.67</f>
        <v>16.7</v>
      </c>
      <c r="C1209" s="45">
        <v>10</v>
      </c>
      <c r="D1209" s="23"/>
      <c r="E1209" s="32"/>
      <c r="F1209" s="32"/>
      <c r="G1209" s="283"/>
      <c r="H1209" s="454"/>
      <c r="I1209" s="624"/>
      <c r="J1209" s="9"/>
      <c r="K1209" s="264" t="s">
        <v>193</v>
      </c>
      <c r="L1209" s="82">
        <f>C1297</f>
        <v>7</v>
      </c>
      <c r="M1209" s="87"/>
    </row>
    <row r="1210" spans="1:13" ht="31.5" customHeight="1">
      <c r="A1210" s="25" t="s">
        <v>91</v>
      </c>
      <c r="B1210" s="23">
        <v>9</v>
      </c>
      <c r="C1210" s="23">
        <v>9</v>
      </c>
      <c r="D1210" s="23"/>
      <c r="E1210" s="32"/>
      <c r="F1210" s="32"/>
      <c r="G1210" s="32"/>
      <c r="H1210" s="45"/>
      <c r="I1210" s="509"/>
      <c r="J1210" s="9"/>
      <c r="M1210" s="87"/>
    </row>
    <row r="1211" spans="1:13" ht="31.5" customHeight="1">
      <c r="A1211" s="59" t="s">
        <v>51</v>
      </c>
      <c r="B1211" s="45">
        <f>C1211*1.19</f>
        <v>14.28</v>
      </c>
      <c r="C1211" s="23">
        <v>12</v>
      </c>
      <c r="D1211" s="23"/>
      <c r="E1211" s="38"/>
      <c r="F1211" s="38"/>
      <c r="G1211" s="38"/>
      <c r="H1211" s="57"/>
      <c r="I1211" s="623"/>
      <c r="J1211" s="9"/>
      <c r="M1211" s="87"/>
    </row>
    <row r="1212" spans="1:13" ht="31.5" customHeight="1">
      <c r="A1212" s="20" t="s">
        <v>97</v>
      </c>
      <c r="B1212" s="23">
        <v>10</v>
      </c>
      <c r="C1212" s="23">
        <v>10</v>
      </c>
      <c r="D1212" s="23"/>
      <c r="E1212" s="32"/>
      <c r="F1212" s="32"/>
      <c r="G1212" s="32"/>
      <c r="H1212" s="45"/>
      <c r="I1212" s="509"/>
      <c r="J1212" s="9"/>
      <c r="M1212" s="87"/>
    </row>
    <row r="1213" spans="1:13" ht="31.5" customHeight="1">
      <c r="A1213" s="59" t="s">
        <v>117</v>
      </c>
      <c r="B1213" s="45">
        <v>3</v>
      </c>
      <c r="C1213" s="57">
        <v>3</v>
      </c>
      <c r="D1213" s="23"/>
      <c r="E1213" s="38"/>
      <c r="F1213" s="38"/>
      <c r="G1213" s="38"/>
      <c r="H1213" s="57"/>
      <c r="I1213" s="623"/>
      <c r="J1213" s="9"/>
      <c r="M1213" s="87"/>
    </row>
    <row r="1214" spans="1:13" ht="31.5" customHeight="1">
      <c r="A1214" s="59" t="s">
        <v>423</v>
      </c>
      <c r="B1214" s="45"/>
      <c r="C1214" s="57">
        <v>100</v>
      </c>
      <c r="D1214" s="23"/>
      <c r="E1214" s="38"/>
      <c r="F1214" s="38"/>
      <c r="G1214" s="38"/>
      <c r="H1214" s="57"/>
      <c r="I1214" s="623"/>
      <c r="J1214" s="9"/>
      <c r="M1214" s="87"/>
    </row>
    <row r="1215" spans="1:13" ht="31.5" customHeight="1">
      <c r="A1215" s="625" t="s">
        <v>422</v>
      </c>
      <c r="B1215" s="47"/>
      <c r="C1215" s="4">
        <v>30</v>
      </c>
      <c r="D1215" s="4"/>
      <c r="E1215" s="222"/>
      <c r="F1215" s="222"/>
      <c r="G1215" s="222"/>
      <c r="H1215" s="465"/>
      <c r="I1215" s="320" t="s">
        <v>374</v>
      </c>
      <c r="J1215" s="9"/>
      <c r="M1215" s="87"/>
    </row>
    <row r="1216" spans="1:13" ht="31.5" customHeight="1">
      <c r="A1216" s="100" t="s">
        <v>52</v>
      </c>
      <c r="B1216" s="47">
        <v>8</v>
      </c>
      <c r="C1216" s="47">
        <v>8</v>
      </c>
      <c r="D1216" s="4"/>
      <c r="E1216" s="594"/>
      <c r="F1216" s="50"/>
      <c r="G1216" s="50"/>
      <c r="H1216" s="46"/>
      <c r="I1216" s="320"/>
      <c r="J1216" s="9"/>
      <c r="M1216" s="87"/>
    </row>
    <row r="1217" spans="1:13" ht="31.5" customHeight="1">
      <c r="A1217" s="89" t="s">
        <v>54</v>
      </c>
      <c r="B1217" s="58">
        <v>2.3</v>
      </c>
      <c r="C1217" s="58">
        <v>2.3</v>
      </c>
      <c r="D1217" s="275"/>
      <c r="E1217" s="272"/>
      <c r="F1217" s="38"/>
      <c r="G1217" s="38"/>
      <c r="H1217" s="57"/>
      <c r="I1217" s="466"/>
      <c r="J1217" s="9"/>
      <c r="M1217" s="87"/>
    </row>
    <row r="1218" spans="1:13" ht="31.5" customHeight="1">
      <c r="A1218" s="100" t="s">
        <v>60</v>
      </c>
      <c r="B1218" s="47">
        <v>22</v>
      </c>
      <c r="C1218" s="47">
        <v>22</v>
      </c>
      <c r="D1218" s="4"/>
      <c r="E1218" s="594"/>
      <c r="F1218" s="50"/>
      <c r="G1218" s="50"/>
      <c r="H1218" s="46"/>
      <c r="I1218" s="320"/>
      <c r="J1218" s="9"/>
      <c r="M1218" s="87"/>
    </row>
    <row r="1219" spans="1:27" ht="31.5" customHeight="1">
      <c r="A1219" s="89" t="s">
        <v>83</v>
      </c>
      <c r="B1219" s="47">
        <v>3</v>
      </c>
      <c r="C1219" s="47">
        <v>3</v>
      </c>
      <c r="D1219" s="4"/>
      <c r="E1219" s="594"/>
      <c r="F1219" s="50"/>
      <c r="G1219" s="50"/>
      <c r="H1219" s="46"/>
      <c r="I1219" s="320"/>
      <c r="J1219" s="9"/>
      <c r="M1219" s="87"/>
      <c r="O1219" s="83"/>
      <c r="P1219" s="83"/>
      <c r="Q1219" s="83"/>
      <c r="R1219" s="83"/>
      <c r="V1219" s="40"/>
      <c r="W1219" s="40"/>
      <c r="X1219" s="40"/>
      <c r="Y1219" s="40"/>
      <c r="Z1219" s="40"/>
      <c r="AA1219" s="40"/>
    </row>
    <row r="1220" spans="1:13" ht="31.5" customHeight="1">
      <c r="A1220" s="675" t="s">
        <v>334</v>
      </c>
      <c r="B1220" s="675"/>
      <c r="C1220" s="675"/>
      <c r="D1220" s="1">
        <v>180</v>
      </c>
      <c r="E1220" s="21">
        <v>6.784615384615385</v>
      </c>
      <c r="F1220" s="21">
        <v>3.8769230769230765</v>
      </c>
      <c r="G1220" s="21">
        <v>33.23076923076923</v>
      </c>
      <c r="H1220" s="396">
        <f>G1220*4+F1220*9+E1220*4</f>
        <v>194.95384615384617</v>
      </c>
      <c r="I1220" s="300" t="s">
        <v>341</v>
      </c>
      <c r="J1220" s="9"/>
      <c r="M1220" s="87"/>
    </row>
    <row r="1221" spans="1:13" ht="31.5" customHeight="1">
      <c r="A1221" s="115" t="s">
        <v>333</v>
      </c>
      <c r="B1221" s="24">
        <v>60</v>
      </c>
      <c r="C1221" s="23">
        <v>60</v>
      </c>
      <c r="D1221" s="282"/>
      <c r="E1221" s="292"/>
      <c r="F1221" s="292"/>
      <c r="G1221" s="292"/>
      <c r="H1221" s="353"/>
      <c r="I1221" s="292"/>
      <c r="J1221" s="9"/>
      <c r="M1221" s="87"/>
    </row>
    <row r="1222" spans="1:13" ht="31.5" customHeight="1">
      <c r="A1222" s="115" t="s">
        <v>60</v>
      </c>
      <c r="B1222" s="24">
        <v>140</v>
      </c>
      <c r="C1222" s="23">
        <v>140</v>
      </c>
      <c r="D1222" s="282"/>
      <c r="E1222" s="292"/>
      <c r="F1222" s="292"/>
      <c r="G1222" s="292"/>
      <c r="H1222" s="353"/>
      <c r="I1222" s="292"/>
      <c r="J1222" s="12"/>
      <c r="M1222" s="87"/>
    </row>
    <row r="1223" spans="1:13" ht="31.5" customHeight="1">
      <c r="A1223" s="53" t="s">
        <v>70</v>
      </c>
      <c r="B1223" s="45">
        <v>5</v>
      </c>
      <c r="C1223" s="45">
        <v>5</v>
      </c>
      <c r="D1223" s="282"/>
      <c r="E1223" s="21"/>
      <c r="F1223" s="21"/>
      <c r="G1223" s="21"/>
      <c r="H1223" s="238"/>
      <c r="I1223" s="300"/>
      <c r="J1223" s="91"/>
      <c r="M1223" s="87"/>
    </row>
    <row r="1224" spans="1:21" ht="31.5" customHeight="1">
      <c r="A1224" s="710" t="s">
        <v>265</v>
      </c>
      <c r="B1224" s="710"/>
      <c r="C1224" s="710"/>
      <c r="D1224" s="158">
        <v>200</v>
      </c>
      <c r="E1224" s="228">
        <v>0.5</v>
      </c>
      <c r="F1224" s="228">
        <v>0.2</v>
      </c>
      <c r="G1224" s="228">
        <v>28.1</v>
      </c>
      <c r="H1224" s="3">
        <f>G1224*4+F1224*9+E1224*4</f>
        <v>116.2</v>
      </c>
      <c r="I1224" s="301" t="s">
        <v>266</v>
      </c>
      <c r="J1224" s="633"/>
      <c r="M1224" s="87"/>
      <c r="S1224" s="40"/>
      <c r="T1224" s="40"/>
      <c r="U1224" s="40"/>
    </row>
    <row r="1225" spans="1:13" ht="31.5" customHeight="1">
      <c r="A1225" s="59" t="s">
        <v>207</v>
      </c>
      <c r="B1225" s="156">
        <f>C1225*1.05</f>
        <v>21</v>
      </c>
      <c r="C1225" s="156">
        <v>20</v>
      </c>
      <c r="D1225" s="158"/>
      <c r="E1225" s="228"/>
      <c r="F1225" s="228"/>
      <c r="G1225" s="228"/>
      <c r="H1225" s="3"/>
      <c r="I1225" s="301"/>
      <c r="J1225" s="93"/>
      <c r="M1225" s="87"/>
    </row>
    <row r="1226" spans="1:21" ht="31.5" customHeight="1">
      <c r="A1226" s="59" t="s">
        <v>143</v>
      </c>
      <c r="B1226" s="156">
        <f>C1226*1.05</f>
        <v>21</v>
      </c>
      <c r="C1226" s="156">
        <v>20</v>
      </c>
      <c r="D1226" s="158"/>
      <c r="E1226" s="228"/>
      <c r="F1226" s="228"/>
      <c r="G1226" s="228"/>
      <c r="H1226" s="3"/>
      <c r="I1226" s="301"/>
      <c r="J1226" s="91"/>
      <c r="M1226" s="87"/>
      <c r="T1226" s="40"/>
      <c r="U1226" s="40"/>
    </row>
    <row r="1227" spans="1:13" ht="31.5" customHeight="1">
      <c r="A1227" s="25" t="s">
        <v>39</v>
      </c>
      <c r="B1227" s="166">
        <v>20</v>
      </c>
      <c r="C1227" s="166">
        <v>20</v>
      </c>
      <c r="D1227" s="194"/>
      <c r="E1227" s="232"/>
      <c r="F1227" s="232"/>
      <c r="G1227" s="232"/>
      <c r="H1227" s="533"/>
      <c r="I1227" s="301"/>
      <c r="J1227" s="91"/>
      <c r="M1227" s="87"/>
    </row>
    <row r="1228" spans="1:13" ht="31.5" customHeight="1">
      <c r="A1228" s="674" t="s">
        <v>34</v>
      </c>
      <c r="B1228" s="674"/>
      <c r="C1228" s="674"/>
      <c r="D1228" s="1">
        <v>40</v>
      </c>
      <c r="E1228" s="2">
        <v>1.88</v>
      </c>
      <c r="F1228" s="2">
        <v>0.4</v>
      </c>
      <c r="G1228" s="2">
        <v>17.48</v>
      </c>
      <c r="H1228" s="3">
        <v>81.04</v>
      </c>
      <c r="I1228" s="294"/>
      <c r="J1228" s="91"/>
      <c r="M1228" s="87"/>
    </row>
    <row r="1229" spans="1:13" ht="31.5" customHeight="1">
      <c r="A1229" s="675" t="s">
        <v>145</v>
      </c>
      <c r="B1229" s="675"/>
      <c r="C1229" s="675"/>
      <c r="D1229" s="1">
        <v>40</v>
      </c>
      <c r="E1229" s="2"/>
      <c r="F1229" s="2"/>
      <c r="G1229" s="2"/>
      <c r="H1229" s="3"/>
      <c r="I1229" s="294"/>
      <c r="J1229" s="91"/>
      <c r="M1229" s="87"/>
    </row>
    <row r="1230" spans="1:13" ht="31.5" customHeight="1">
      <c r="A1230" s="674" t="s">
        <v>74</v>
      </c>
      <c r="B1230" s="674"/>
      <c r="C1230" s="674"/>
      <c r="D1230" s="3">
        <v>60</v>
      </c>
      <c r="E1230" s="2">
        <v>3</v>
      </c>
      <c r="F1230" s="2">
        <v>0.8400000000000001</v>
      </c>
      <c r="G1230" s="2">
        <v>24.3</v>
      </c>
      <c r="H1230" s="3">
        <v>116.76000000000002</v>
      </c>
      <c r="I1230" s="294"/>
      <c r="J1230" s="91"/>
      <c r="M1230" s="87"/>
    </row>
    <row r="1231" spans="1:13" ht="31.5" customHeight="1">
      <c r="A1231" s="675" t="s">
        <v>72</v>
      </c>
      <c r="B1231" s="675"/>
      <c r="C1231" s="675"/>
      <c r="D1231" s="1">
        <v>60</v>
      </c>
      <c r="E1231" s="2"/>
      <c r="F1231" s="2"/>
      <c r="G1231" s="2"/>
      <c r="H1231" s="3"/>
      <c r="I1231" s="294"/>
      <c r="J1231" s="91"/>
      <c r="M1231" s="87"/>
    </row>
    <row r="1232" spans="1:13" ht="31.5" customHeight="1">
      <c r="A1232" s="698" t="s">
        <v>202</v>
      </c>
      <c r="B1232" s="698"/>
      <c r="C1232" s="698"/>
      <c r="D1232" s="266"/>
      <c r="E1232" s="235">
        <f>E1147+E1175</f>
        <v>46.26461538461538</v>
      </c>
      <c r="F1232" s="235">
        <f>F1147+F1175</f>
        <v>39.9554945054945</v>
      </c>
      <c r="G1232" s="235">
        <f>G1147+G1175</f>
        <v>239.28934065934067</v>
      </c>
      <c r="H1232" s="267">
        <f>H1147+H1175</f>
        <v>1501.8152747252748</v>
      </c>
      <c r="I1232" s="302"/>
      <c r="J1232" s="91"/>
      <c r="M1232" s="87"/>
    </row>
    <row r="1233" spans="1:13" ht="30" customHeight="1">
      <c r="A1233" s="707" t="s">
        <v>126</v>
      </c>
      <c r="B1233" s="707"/>
      <c r="C1233" s="707"/>
      <c r="D1233" s="707"/>
      <c r="E1233" s="707"/>
      <c r="F1233" s="707"/>
      <c r="G1233" s="707"/>
      <c r="H1233" s="707"/>
      <c r="I1233" s="707"/>
      <c r="J1233" s="91"/>
      <c r="M1233" s="87"/>
    </row>
    <row r="1234" spans="1:13" ht="30" customHeight="1">
      <c r="A1234" s="693" t="s">
        <v>1</v>
      </c>
      <c r="B1234" s="676" t="s">
        <v>2</v>
      </c>
      <c r="C1234" s="676" t="s">
        <v>3</v>
      </c>
      <c r="D1234" s="676" t="s">
        <v>4</v>
      </c>
      <c r="E1234" s="676"/>
      <c r="F1234" s="676"/>
      <c r="G1234" s="676"/>
      <c r="H1234" s="676"/>
      <c r="I1234" s="682" t="s">
        <v>201</v>
      </c>
      <c r="J1234" s="91"/>
      <c r="M1234" s="87"/>
    </row>
    <row r="1235" spans="1:13" ht="30" customHeight="1">
      <c r="A1235" s="693"/>
      <c r="B1235" s="676"/>
      <c r="C1235" s="676"/>
      <c r="D1235" s="6" t="s">
        <v>5</v>
      </c>
      <c r="E1235" s="62" t="s">
        <v>6</v>
      </c>
      <c r="F1235" s="62" t="s">
        <v>7</v>
      </c>
      <c r="G1235" s="62" t="s">
        <v>8</v>
      </c>
      <c r="H1235" s="69" t="s">
        <v>9</v>
      </c>
      <c r="I1235" s="682"/>
      <c r="J1235" s="91"/>
      <c r="M1235" s="87"/>
    </row>
    <row r="1236" spans="1:13" ht="30" customHeight="1">
      <c r="A1236" s="709" t="s">
        <v>10</v>
      </c>
      <c r="B1236" s="709"/>
      <c r="C1236" s="709"/>
      <c r="D1236" s="553">
        <f>D1237+105+D1248+D1251</f>
        <v>550</v>
      </c>
      <c r="E1236" s="71">
        <f>E1237+E1238+E1248+E1251+E1254</f>
        <v>17.299999999999997</v>
      </c>
      <c r="F1236" s="71">
        <f>F1237+F1238+F1248+F1251+F1254</f>
        <v>20.5</v>
      </c>
      <c r="G1236" s="71">
        <f>G1237+G1238+G1248+G1251+G1254</f>
        <v>100</v>
      </c>
      <c r="H1236" s="71">
        <f>H1237+H1238+H1248+H1251+H1254</f>
        <v>652.9199999999998</v>
      </c>
      <c r="I1236" s="293"/>
      <c r="J1236" s="91"/>
      <c r="M1236" s="87"/>
    </row>
    <row r="1237" spans="1:13" ht="30" customHeight="1">
      <c r="A1237" s="675" t="s">
        <v>564</v>
      </c>
      <c r="B1237" s="675"/>
      <c r="C1237" s="675"/>
      <c r="D1237" s="145" t="s">
        <v>565</v>
      </c>
      <c r="E1237" s="2">
        <v>1.2</v>
      </c>
      <c r="F1237" s="2">
        <v>2.1</v>
      </c>
      <c r="G1237" s="2">
        <v>22.1</v>
      </c>
      <c r="H1237" s="3">
        <f>E1237*4+F1237*9+G1237*4</f>
        <v>112.10000000000001</v>
      </c>
      <c r="I1237" s="320"/>
      <c r="J1237" s="91"/>
      <c r="M1237" s="87"/>
    </row>
    <row r="1238" spans="1:13" ht="30" customHeight="1">
      <c r="A1238" s="671" t="s">
        <v>562</v>
      </c>
      <c r="B1238" s="671"/>
      <c r="C1238" s="671"/>
      <c r="D1238" s="1" t="s">
        <v>121</v>
      </c>
      <c r="E1238" s="63">
        <v>11.4</v>
      </c>
      <c r="F1238" s="63">
        <v>14.9</v>
      </c>
      <c r="G1238" s="63">
        <v>12.4</v>
      </c>
      <c r="H1238" s="3">
        <f>E1238*4+F1238*9+G1238*4</f>
        <v>229.29999999999998</v>
      </c>
      <c r="I1238" s="294" t="s">
        <v>293</v>
      </c>
      <c r="J1238" s="91"/>
      <c r="M1238" s="87"/>
    </row>
    <row r="1239" spans="1:13" ht="30" customHeight="1">
      <c r="A1239" s="171" t="s">
        <v>397</v>
      </c>
      <c r="B1239" s="126">
        <f>C1239*1.054</f>
        <v>70.61800000000001</v>
      </c>
      <c r="C1239" s="23">
        <v>67</v>
      </c>
      <c r="D1239" s="282"/>
      <c r="E1239" s="440"/>
      <c r="F1239" s="440"/>
      <c r="G1239" s="440"/>
      <c r="H1239" s="539"/>
      <c r="I1239" s="441"/>
      <c r="J1239" s="91"/>
      <c r="M1239" s="87"/>
    </row>
    <row r="1240" spans="1:13" ht="30" customHeight="1">
      <c r="A1240" s="54" t="s">
        <v>563</v>
      </c>
      <c r="B1240" s="37">
        <f>C1240*1.47</f>
        <v>98.49</v>
      </c>
      <c r="C1240" s="170">
        <v>67</v>
      </c>
      <c r="D1240" s="218"/>
      <c r="E1240" s="218"/>
      <c r="F1240" s="225"/>
      <c r="G1240" s="218"/>
      <c r="H1240" s="233"/>
      <c r="I1240" s="218"/>
      <c r="J1240" s="91"/>
      <c r="M1240" s="87"/>
    </row>
    <row r="1241" spans="1:13" ht="30" customHeight="1">
      <c r="A1241" s="53" t="s">
        <v>42</v>
      </c>
      <c r="B1241" s="22">
        <v>19</v>
      </c>
      <c r="C1241" s="22">
        <v>19</v>
      </c>
      <c r="D1241" s="218"/>
      <c r="E1241" s="43"/>
      <c r="F1241" s="43"/>
      <c r="G1241" s="43"/>
      <c r="H1241" s="26"/>
      <c r="I1241" s="328"/>
      <c r="J1241" s="91"/>
      <c r="M1241" s="87"/>
    </row>
    <row r="1242" spans="1:13" ht="30" customHeight="1">
      <c r="A1242" s="106" t="s">
        <v>51</v>
      </c>
      <c r="B1242" s="45">
        <f>C1242*1.19</f>
        <v>10.709999999999999</v>
      </c>
      <c r="C1242" s="45">
        <v>9</v>
      </c>
      <c r="D1242" s="218"/>
      <c r="E1242" s="50"/>
      <c r="F1242" s="50"/>
      <c r="G1242" s="50"/>
      <c r="H1242" s="46"/>
      <c r="I1242" s="231"/>
      <c r="J1242" s="91"/>
      <c r="M1242" s="87"/>
    </row>
    <row r="1243" spans="1:21" ht="30" customHeight="1">
      <c r="A1243" s="20" t="s">
        <v>63</v>
      </c>
      <c r="B1243" s="22">
        <v>20</v>
      </c>
      <c r="C1243" s="22">
        <v>20</v>
      </c>
      <c r="D1243" s="218"/>
      <c r="E1243" s="43"/>
      <c r="F1243" s="43"/>
      <c r="G1243" s="43"/>
      <c r="H1243" s="26"/>
      <c r="I1243" s="328"/>
      <c r="J1243" s="91"/>
      <c r="M1243" s="87"/>
      <c r="T1243" s="95"/>
      <c r="U1243" s="95"/>
    </row>
    <row r="1244" spans="1:21" ht="30" customHeight="1">
      <c r="A1244" s="20" t="s">
        <v>489</v>
      </c>
      <c r="B1244" s="22">
        <v>7</v>
      </c>
      <c r="C1244" s="22">
        <v>7</v>
      </c>
      <c r="D1244" s="218"/>
      <c r="E1244" s="43"/>
      <c r="F1244" s="43"/>
      <c r="G1244" s="43"/>
      <c r="H1244" s="26"/>
      <c r="I1244" s="328"/>
      <c r="J1244" s="91"/>
      <c r="M1244" s="87"/>
      <c r="T1244" s="95"/>
      <c r="U1244" s="95"/>
    </row>
    <row r="1245" spans="1:13" ht="30" customHeight="1">
      <c r="A1245" s="53" t="s">
        <v>54</v>
      </c>
      <c r="B1245" s="22">
        <v>6</v>
      </c>
      <c r="C1245" s="22">
        <v>6</v>
      </c>
      <c r="D1245" s="218"/>
      <c r="E1245" s="43"/>
      <c r="F1245" s="43"/>
      <c r="G1245" s="43"/>
      <c r="H1245" s="26"/>
      <c r="I1245" s="328"/>
      <c r="J1245" s="91"/>
      <c r="M1245" s="87"/>
    </row>
    <row r="1246" spans="1:13" ht="30" customHeight="1">
      <c r="A1246" s="20" t="s">
        <v>44</v>
      </c>
      <c r="B1246" s="22">
        <v>2</v>
      </c>
      <c r="C1246" s="22">
        <v>2</v>
      </c>
      <c r="D1246" s="218"/>
      <c r="E1246" s="43"/>
      <c r="F1246" s="43"/>
      <c r="G1246" s="43"/>
      <c r="H1246" s="26"/>
      <c r="I1246" s="328"/>
      <c r="J1246" s="91"/>
      <c r="M1246" s="87"/>
    </row>
    <row r="1247" spans="1:13" ht="30" customHeight="1">
      <c r="A1247" s="20" t="s">
        <v>70</v>
      </c>
      <c r="B1247" s="22">
        <v>5</v>
      </c>
      <c r="C1247" s="22">
        <v>5</v>
      </c>
      <c r="D1247" s="218"/>
      <c r="E1247" s="43"/>
      <c r="F1247" s="43"/>
      <c r="G1247" s="43"/>
      <c r="H1247" s="26"/>
      <c r="I1247" s="328"/>
      <c r="J1247" s="91"/>
      <c r="M1247" s="87"/>
    </row>
    <row r="1248" spans="1:13" ht="30" customHeight="1">
      <c r="A1248" s="671" t="s">
        <v>313</v>
      </c>
      <c r="B1248" s="671"/>
      <c r="C1248" s="671"/>
      <c r="D1248" s="632">
        <v>180</v>
      </c>
      <c r="E1248" s="21">
        <v>3.8</v>
      </c>
      <c r="F1248" s="21">
        <v>3.4</v>
      </c>
      <c r="G1248" s="21">
        <v>41.1</v>
      </c>
      <c r="H1248" s="238">
        <f>E1248*4+F1248*9+G1248*4</f>
        <v>210.2</v>
      </c>
      <c r="I1248" s="300" t="s">
        <v>223</v>
      </c>
      <c r="J1248" s="91"/>
      <c r="M1248" s="87"/>
    </row>
    <row r="1249" spans="1:13" ht="30" customHeight="1">
      <c r="A1249" s="389" t="s">
        <v>392</v>
      </c>
      <c r="B1249" s="26">
        <v>64</v>
      </c>
      <c r="C1249" s="26">
        <v>64</v>
      </c>
      <c r="D1249" s="632"/>
      <c r="E1249" s="21"/>
      <c r="F1249" s="21"/>
      <c r="G1249" s="21"/>
      <c r="H1249" s="238"/>
      <c r="I1249" s="329"/>
      <c r="J1249" s="91"/>
      <c r="M1249" s="87"/>
    </row>
    <row r="1250" spans="1:13" ht="30" customHeight="1">
      <c r="A1250" s="53" t="s">
        <v>70</v>
      </c>
      <c r="B1250" s="23">
        <v>4</v>
      </c>
      <c r="C1250" s="23">
        <v>4</v>
      </c>
      <c r="D1250" s="23"/>
      <c r="E1250" s="32"/>
      <c r="F1250" s="32"/>
      <c r="G1250" s="32"/>
      <c r="H1250" s="45"/>
      <c r="I1250" s="327"/>
      <c r="J1250" s="91"/>
      <c r="M1250" s="87"/>
    </row>
    <row r="1251" spans="1:13" ht="30" customHeight="1">
      <c r="A1251" s="674" t="s">
        <v>267</v>
      </c>
      <c r="B1251" s="674"/>
      <c r="C1251" s="674"/>
      <c r="D1251" s="1">
        <v>200</v>
      </c>
      <c r="E1251" s="2">
        <v>0.2</v>
      </c>
      <c r="F1251" s="2">
        <v>0</v>
      </c>
      <c r="G1251" s="2">
        <v>15</v>
      </c>
      <c r="H1251" s="3">
        <f>G1251*4+F1251*9+E1251*4</f>
        <v>60.8</v>
      </c>
      <c r="I1251" s="294" t="s">
        <v>268</v>
      </c>
      <c r="J1251" s="8"/>
      <c r="M1251" s="87"/>
    </row>
    <row r="1252" spans="1:27" ht="30" customHeight="1">
      <c r="A1252" s="53" t="s">
        <v>113</v>
      </c>
      <c r="B1252" s="57">
        <v>2</v>
      </c>
      <c r="C1252" s="57">
        <v>2</v>
      </c>
      <c r="D1252" s="47"/>
      <c r="E1252" s="231"/>
      <c r="F1252" s="231"/>
      <c r="G1252" s="35"/>
      <c r="H1252" s="26"/>
      <c r="I1252" s="297"/>
      <c r="J1252" s="8"/>
      <c r="M1252" s="87"/>
      <c r="V1252" s="83"/>
      <c r="W1252" s="83"/>
      <c r="X1252" s="83"/>
      <c r="Y1252" s="83"/>
      <c r="Z1252" s="83"/>
      <c r="AA1252" s="83"/>
    </row>
    <row r="1253" spans="1:13" ht="30" customHeight="1">
      <c r="A1253" s="89" t="s">
        <v>94</v>
      </c>
      <c r="B1253" s="58">
        <v>15</v>
      </c>
      <c r="C1253" s="58">
        <v>15</v>
      </c>
      <c r="D1253" s="47"/>
      <c r="E1253" s="47"/>
      <c r="F1253" s="47"/>
      <c r="G1253" s="47"/>
      <c r="H1253" s="46"/>
      <c r="I1253" s="296"/>
      <c r="J1253" s="9"/>
      <c r="M1253" s="87"/>
    </row>
    <row r="1254" spans="1:26" ht="30" customHeight="1">
      <c r="A1254" s="675" t="s">
        <v>34</v>
      </c>
      <c r="B1254" s="675"/>
      <c r="C1254" s="675"/>
      <c r="D1254" s="1">
        <v>20</v>
      </c>
      <c r="E1254" s="2">
        <v>0.7</v>
      </c>
      <c r="F1254" s="2">
        <v>0.1</v>
      </c>
      <c r="G1254" s="2">
        <v>9.4</v>
      </c>
      <c r="H1254" s="3">
        <v>40.52</v>
      </c>
      <c r="I1254" s="294"/>
      <c r="J1254" s="9"/>
      <c r="M1254" s="87"/>
      <c r="P1254" s="91"/>
      <c r="Q1254" s="91"/>
      <c r="R1254" s="91"/>
      <c r="S1254" s="91"/>
      <c r="T1254" s="91"/>
      <c r="U1254" s="91"/>
      <c r="V1254" s="91"/>
      <c r="W1254" s="91"/>
      <c r="X1254" s="91"/>
      <c r="Y1254" s="91"/>
      <c r="Z1254" s="91"/>
    </row>
    <row r="1255" spans="1:26" ht="30" customHeight="1">
      <c r="A1255" s="675" t="s">
        <v>145</v>
      </c>
      <c r="B1255" s="675"/>
      <c r="C1255" s="675"/>
      <c r="D1255" s="1">
        <v>20</v>
      </c>
      <c r="E1255" s="2"/>
      <c r="F1255" s="2"/>
      <c r="G1255" s="2"/>
      <c r="H1255" s="3"/>
      <c r="I1255" s="294"/>
      <c r="J1255" s="9"/>
      <c r="M1255" s="87"/>
      <c r="P1255" s="91"/>
      <c r="Q1255" s="714"/>
      <c r="R1255" s="714"/>
      <c r="S1255" s="714"/>
      <c r="T1255" s="66"/>
      <c r="U1255" s="633"/>
      <c r="V1255" s="633"/>
      <c r="W1255" s="633"/>
      <c r="X1255" s="633"/>
      <c r="Y1255" s="660"/>
      <c r="Z1255" s="91"/>
    </row>
    <row r="1256" spans="1:26" ht="30" customHeight="1">
      <c r="A1256" s="690" t="s">
        <v>205</v>
      </c>
      <c r="B1256" s="690"/>
      <c r="C1256" s="690"/>
      <c r="D1256" s="265">
        <f>D1257+260+150+D1288+D1292</f>
        <v>890</v>
      </c>
      <c r="E1256" s="71">
        <f>E1257+E1262+E1278+E1288+E1292+E1298+E1300</f>
        <v>30.880000000000003</v>
      </c>
      <c r="F1256" s="71">
        <f>F1257+F1262+F1278+F1288+F1292+F1298+F1300</f>
        <v>29.839999999999996</v>
      </c>
      <c r="G1256" s="71">
        <f>G1257+G1262+G1278+G1288+G1292+G1298+G1300</f>
        <v>125.5</v>
      </c>
      <c r="H1256" s="71">
        <f>H1257+H1262+H1278+H1288+H1292+H1298+H1300</f>
        <v>894.0799999999999</v>
      </c>
      <c r="I1256" s="293"/>
      <c r="J1256" s="9"/>
      <c r="M1256" s="87"/>
      <c r="P1256" s="91"/>
      <c r="Q1256" s="180"/>
      <c r="R1256" s="77"/>
      <c r="S1256" s="77"/>
      <c r="T1256" s="66"/>
      <c r="U1256" s="633"/>
      <c r="V1256" s="633"/>
      <c r="W1256" s="633"/>
      <c r="X1256" s="633"/>
      <c r="Y1256" s="660"/>
      <c r="Z1256" s="91"/>
    </row>
    <row r="1257" spans="1:26" ht="30" customHeight="1">
      <c r="A1257" s="685" t="s">
        <v>539</v>
      </c>
      <c r="B1257" s="685"/>
      <c r="C1257" s="685"/>
      <c r="D1257" s="223" t="s">
        <v>138</v>
      </c>
      <c r="E1257" s="242">
        <v>1.2</v>
      </c>
      <c r="F1257" s="242">
        <v>5.1</v>
      </c>
      <c r="G1257" s="242">
        <v>4.5</v>
      </c>
      <c r="H1257" s="238">
        <f>G1257*4+F1257*9+E1257*4</f>
        <v>68.7</v>
      </c>
      <c r="I1257" s="297" t="s">
        <v>540</v>
      </c>
      <c r="J1257" s="9"/>
      <c r="M1257" s="87"/>
      <c r="P1257" s="91"/>
      <c r="Q1257" s="215"/>
      <c r="R1257" s="216"/>
      <c r="S1257" s="216"/>
      <c r="T1257" s="216"/>
      <c r="U1257" s="129"/>
      <c r="V1257" s="129"/>
      <c r="W1257" s="129"/>
      <c r="X1257" s="129"/>
      <c r="Y1257" s="661"/>
      <c r="Z1257" s="91"/>
    </row>
    <row r="1258" spans="1:26" ht="30" customHeight="1">
      <c r="A1258" s="25" t="s">
        <v>492</v>
      </c>
      <c r="B1258" s="43">
        <f>C1258*1.02</f>
        <v>78.54</v>
      </c>
      <c r="C1258" s="22">
        <v>77</v>
      </c>
      <c r="D1258" s="234"/>
      <c r="E1258" s="32"/>
      <c r="F1258" s="32"/>
      <c r="G1258" s="32"/>
      <c r="H1258" s="45"/>
      <c r="I1258" s="32"/>
      <c r="J1258" s="9"/>
      <c r="M1258" s="87"/>
      <c r="P1258" s="91"/>
      <c r="Q1258" s="91"/>
      <c r="R1258" s="91"/>
      <c r="S1258" s="91"/>
      <c r="T1258" s="91"/>
      <c r="U1258" s="91"/>
      <c r="V1258" s="91"/>
      <c r="W1258" s="91"/>
      <c r="X1258" s="91"/>
      <c r="Y1258" s="91"/>
      <c r="Z1258" s="91"/>
    </row>
    <row r="1259" spans="1:26" ht="30" customHeight="1">
      <c r="A1259" s="25" t="s">
        <v>114</v>
      </c>
      <c r="B1259" s="43">
        <f>C1259*1.05</f>
        <v>80.85000000000001</v>
      </c>
      <c r="C1259" s="22">
        <v>77</v>
      </c>
      <c r="D1259" s="234"/>
      <c r="E1259" s="32"/>
      <c r="F1259" s="32"/>
      <c r="G1259" s="32"/>
      <c r="H1259" s="45"/>
      <c r="I1259" s="32"/>
      <c r="J1259" s="9"/>
      <c r="M1259" s="87"/>
      <c r="P1259" s="91"/>
      <c r="Q1259" s="91"/>
      <c r="R1259" s="91"/>
      <c r="S1259" s="91"/>
      <c r="T1259" s="87"/>
      <c r="U1259" s="87"/>
      <c r="V1259" s="91"/>
      <c r="W1259" s="91"/>
      <c r="X1259" s="91"/>
      <c r="Y1259" s="91"/>
      <c r="Z1259" s="91"/>
    </row>
    <row r="1260" spans="1:13" ht="30" customHeight="1">
      <c r="A1260" s="102" t="s">
        <v>324</v>
      </c>
      <c r="B1260" s="26">
        <f>C1260*1.54</f>
        <v>30.8</v>
      </c>
      <c r="C1260" s="26">
        <v>20</v>
      </c>
      <c r="D1260" s="234"/>
      <c r="E1260" s="32"/>
      <c r="F1260" s="32"/>
      <c r="G1260" s="32"/>
      <c r="H1260" s="45"/>
      <c r="I1260" s="21"/>
      <c r="J1260" s="9"/>
      <c r="M1260" s="87"/>
    </row>
    <row r="1261" spans="1:13" ht="30" customHeight="1">
      <c r="A1261" s="89" t="s">
        <v>44</v>
      </c>
      <c r="B1261" s="57">
        <v>5</v>
      </c>
      <c r="C1261" s="57">
        <v>5</v>
      </c>
      <c r="D1261" s="47"/>
      <c r="E1261" s="50"/>
      <c r="F1261" s="50"/>
      <c r="G1261" s="50"/>
      <c r="H1261" s="46"/>
      <c r="I1261" s="305"/>
      <c r="J1261" s="9"/>
      <c r="M1261" s="87"/>
    </row>
    <row r="1262" spans="1:13" ht="30" customHeight="1">
      <c r="A1262" s="708" t="s">
        <v>617</v>
      </c>
      <c r="B1262" s="708"/>
      <c r="C1262" s="708"/>
      <c r="D1262" s="626" t="s">
        <v>215</v>
      </c>
      <c r="E1262" s="21">
        <v>4.1</v>
      </c>
      <c r="F1262" s="21">
        <v>4.8</v>
      </c>
      <c r="G1262" s="21">
        <v>21</v>
      </c>
      <c r="H1262" s="238">
        <f>E1262*4+F1262*9+G1262*4</f>
        <v>143.6</v>
      </c>
      <c r="I1262" s="294" t="s">
        <v>545</v>
      </c>
      <c r="J1262" s="9"/>
      <c r="M1262" s="87"/>
    </row>
    <row r="1263" spans="1:27" ht="30" customHeight="1">
      <c r="A1263" s="132" t="s">
        <v>45</v>
      </c>
      <c r="B1263" s="37">
        <f>C1263*1.36</f>
        <v>21.76</v>
      </c>
      <c r="C1263" s="24">
        <v>16</v>
      </c>
      <c r="D1263" s="33"/>
      <c r="E1263" s="32"/>
      <c r="F1263" s="32"/>
      <c r="G1263" s="32"/>
      <c r="H1263" s="45"/>
      <c r="I1263" s="32"/>
      <c r="J1263" s="9"/>
      <c r="M1263" s="87"/>
      <c r="V1263" s="40"/>
      <c r="W1263" s="40"/>
      <c r="X1263" s="40"/>
      <c r="Y1263" s="40"/>
      <c r="Z1263" s="40"/>
      <c r="AA1263" s="40"/>
    </row>
    <row r="1264" spans="1:13" ht="30" customHeight="1">
      <c r="A1264" s="132" t="s">
        <v>46</v>
      </c>
      <c r="B1264" s="37">
        <f>C1264*1.18</f>
        <v>18.88</v>
      </c>
      <c r="C1264" s="33">
        <v>16</v>
      </c>
      <c r="D1264" s="398"/>
      <c r="E1264" s="399"/>
      <c r="F1264" s="399"/>
      <c r="G1264" s="399"/>
      <c r="H1264" s="316"/>
      <c r="I1264" s="399"/>
      <c r="J1264" s="9"/>
      <c r="M1264" s="87"/>
    </row>
    <row r="1265" spans="1:13" ht="30" customHeight="1">
      <c r="A1265" s="59" t="s">
        <v>55</v>
      </c>
      <c r="B1265" s="57">
        <f>C1265*1.25</f>
        <v>43.75</v>
      </c>
      <c r="C1265" s="57">
        <v>35</v>
      </c>
      <c r="D1265" s="271"/>
      <c r="E1265" s="272"/>
      <c r="F1265" s="38"/>
      <c r="G1265" s="38"/>
      <c r="H1265" s="57"/>
      <c r="I1265" s="309"/>
      <c r="J1265" s="9"/>
      <c r="M1265" s="87"/>
    </row>
    <row r="1266" spans="1:13" ht="30" customHeight="1">
      <c r="A1266" s="89" t="s">
        <v>47</v>
      </c>
      <c r="B1266" s="57">
        <f>C1266*1.33</f>
        <v>50.540000000000006</v>
      </c>
      <c r="C1266" s="57">
        <v>38</v>
      </c>
      <c r="D1266" s="58"/>
      <c r="E1266" s="38"/>
      <c r="F1266" s="106"/>
      <c r="G1266" s="57"/>
      <c r="H1266" s="57"/>
      <c r="I1266" s="309"/>
      <c r="J1266" s="9"/>
      <c r="M1266" s="87"/>
    </row>
    <row r="1267" spans="1:13" ht="30" customHeight="1">
      <c r="A1267" s="89" t="s">
        <v>48</v>
      </c>
      <c r="B1267" s="57">
        <f>C1267*1.43</f>
        <v>54.339999999999996</v>
      </c>
      <c r="C1267" s="57">
        <v>38</v>
      </c>
      <c r="D1267" s="58"/>
      <c r="E1267" s="38"/>
      <c r="F1267" s="106"/>
      <c r="G1267" s="57"/>
      <c r="H1267" s="57"/>
      <c r="I1267" s="309"/>
      <c r="J1267" s="9"/>
      <c r="M1267" s="87"/>
    </row>
    <row r="1268" spans="1:13" ht="30" customHeight="1">
      <c r="A1268" s="100" t="s">
        <v>49</v>
      </c>
      <c r="B1268" s="46">
        <f>C1268*1.54</f>
        <v>58.52</v>
      </c>
      <c r="C1268" s="57">
        <v>38</v>
      </c>
      <c r="D1268" s="47"/>
      <c r="E1268" s="50"/>
      <c r="F1268" s="48"/>
      <c r="G1268" s="46"/>
      <c r="H1268" s="46"/>
      <c r="I1268" s="305"/>
      <c r="J1268" s="9"/>
      <c r="K1268" s="87"/>
      <c r="L1268" s="87"/>
      <c r="M1268" s="87"/>
    </row>
    <row r="1269" spans="1:13" ht="30" customHeight="1">
      <c r="A1269" s="100" t="s">
        <v>50</v>
      </c>
      <c r="B1269" s="46">
        <f>C1269*1.67</f>
        <v>63.459999999999994</v>
      </c>
      <c r="C1269" s="57">
        <v>38</v>
      </c>
      <c r="D1269" s="47"/>
      <c r="E1269" s="50"/>
      <c r="F1269" s="48"/>
      <c r="G1269" s="46"/>
      <c r="H1269" s="46"/>
      <c r="I1269" s="305"/>
      <c r="J1269" s="9"/>
      <c r="K1269" s="87"/>
      <c r="L1269" s="87"/>
      <c r="M1269" s="87"/>
    </row>
    <row r="1270" spans="1:13" ht="30" customHeight="1">
      <c r="A1270" s="53" t="s">
        <v>112</v>
      </c>
      <c r="B1270" s="38">
        <f>C1270*1.25</f>
        <v>6.25</v>
      </c>
      <c r="C1270" s="57">
        <v>5</v>
      </c>
      <c r="D1270" s="58"/>
      <c r="E1270" s="38"/>
      <c r="F1270" s="106"/>
      <c r="G1270" s="57"/>
      <c r="H1270" s="57"/>
      <c r="I1270" s="309"/>
      <c r="J1270" s="9"/>
      <c r="M1270" s="87"/>
    </row>
    <row r="1271" spans="1:27" ht="30" customHeight="1">
      <c r="A1271" s="59" t="s">
        <v>43</v>
      </c>
      <c r="B1271" s="38">
        <f>C1271*1.33</f>
        <v>6.65</v>
      </c>
      <c r="C1271" s="57">
        <v>5</v>
      </c>
      <c r="D1271" s="58"/>
      <c r="E1271" s="38"/>
      <c r="F1271" s="106"/>
      <c r="G1271" s="57"/>
      <c r="H1271" s="57"/>
      <c r="I1271" s="309"/>
      <c r="J1271" s="9"/>
      <c r="K1271" s="80" t="s">
        <v>127</v>
      </c>
      <c r="M1271" s="87"/>
      <c r="V1271" s="40"/>
      <c r="W1271" s="40"/>
      <c r="X1271" s="40"/>
      <c r="Y1271" s="40"/>
      <c r="Z1271" s="40"/>
      <c r="AA1271" s="40"/>
    </row>
    <row r="1272" spans="1:13" ht="30" customHeight="1">
      <c r="A1272" s="20" t="s">
        <v>75</v>
      </c>
      <c r="B1272" s="43">
        <f>C1272*1.02</f>
        <v>10.2</v>
      </c>
      <c r="C1272" s="22">
        <v>10</v>
      </c>
      <c r="D1272" s="22"/>
      <c r="E1272" s="43"/>
      <c r="F1272" s="43"/>
      <c r="G1272" s="43"/>
      <c r="H1272" s="43"/>
      <c r="I1272" s="43"/>
      <c r="J1272" s="9"/>
      <c r="K1272" s="27" t="s">
        <v>34</v>
      </c>
      <c r="L1272" s="80">
        <f>+D1380</f>
        <v>40</v>
      </c>
      <c r="M1272" s="87"/>
    </row>
    <row r="1273" spans="1:13" ht="30" customHeight="1">
      <c r="A1273" s="59" t="s">
        <v>89</v>
      </c>
      <c r="B1273" s="45">
        <f>1.18*C1273</f>
        <v>11.799999999999999</v>
      </c>
      <c r="C1273" s="22">
        <v>10</v>
      </c>
      <c r="D1273" s="221"/>
      <c r="E1273" s="221"/>
      <c r="F1273" s="221"/>
      <c r="G1273" s="221"/>
      <c r="H1273" s="221"/>
      <c r="I1273" s="221"/>
      <c r="J1273" s="9"/>
      <c r="K1273" s="28" t="s">
        <v>35</v>
      </c>
      <c r="L1273" s="82">
        <f>C1358++D1382+C1308</f>
        <v>111</v>
      </c>
      <c r="M1273" s="87"/>
    </row>
    <row r="1274" spans="1:13" ht="30" customHeight="1">
      <c r="A1274" s="89" t="s">
        <v>51</v>
      </c>
      <c r="B1274" s="57">
        <f>C1274*1.19</f>
        <v>11.899999999999999</v>
      </c>
      <c r="C1274" s="57">
        <v>10</v>
      </c>
      <c r="D1274" s="58"/>
      <c r="E1274" s="38"/>
      <c r="F1274" s="106"/>
      <c r="G1274" s="57"/>
      <c r="H1274" s="57"/>
      <c r="I1274" s="309"/>
      <c r="J1274" s="9"/>
      <c r="K1274" s="28" t="s">
        <v>65</v>
      </c>
      <c r="L1274" s="82">
        <f>C1315</f>
        <v>15</v>
      </c>
      <c r="M1274" s="87"/>
    </row>
    <row r="1275" spans="1:13" ht="30" customHeight="1">
      <c r="A1275" s="100" t="s">
        <v>217</v>
      </c>
      <c r="B1275" s="26">
        <v>8</v>
      </c>
      <c r="C1275" s="26">
        <v>8</v>
      </c>
      <c r="D1275" s="632"/>
      <c r="E1275" s="2"/>
      <c r="F1275" s="43"/>
      <c r="G1275" s="43"/>
      <c r="H1275" s="3"/>
      <c r="I1275" s="325"/>
      <c r="J1275" s="9"/>
      <c r="K1275" s="29" t="s">
        <v>66</v>
      </c>
      <c r="L1275" s="82">
        <f>+B1349+C1373</f>
        <v>80.2</v>
      </c>
      <c r="M1275" s="87"/>
    </row>
    <row r="1276" spans="1:13" ht="30" customHeight="1">
      <c r="A1276" s="115" t="s">
        <v>544</v>
      </c>
      <c r="B1276" s="24">
        <f>C1276*1.67</f>
        <v>28.3232</v>
      </c>
      <c r="C1276" s="24">
        <f>C1275*2.12</f>
        <v>16.96</v>
      </c>
      <c r="D1276" s="632"/>
      <c r="E1276" s="32"/>
      <c r="F1276" s="32"/>
      <c r="G1276" s="32"/>
      <c r="H1276" s="45"/>
      <c r="I1276" s="423"/>
      <c r="J1276" s="9"/>
      <c r="K1276" s="29" t="s">
        <v>59</v>
      </c>
      <c r="M1276" s="87"/>
    </row>
    <row r="1277" spans="1:13" ht="30" customHeight="1">
      <c r="A1277" s="89" t="s">
        <v>70</v>
      </c>
      <c r="B1277" s="57">
        <v>5</v>
      </c>
      <c r="C1277" s="57">
        <v>5</v>
      </c>
      <c r="D1277" s="58"/>
      <c r="E1277" s="38"/>
      <c r="F1277" s="53"/>
      <c r="G1277" s="45"/>
      <c r="H1277" s="45"/>
      <c r="I1277" s="299"/>
      <c r="J1277" s="9"/>
      <c r="K1277" s="28" t="s">
        <v>22</v>
      </c>
      <c r="L1277" s="82">
        <f>C1350</f>
        <v>62</v>
      </c>
      <c r="M1277" s="87"/>
    </row>
    <row r="1278" spans="1:13" ht="30" customHeight="1">
      <c r="A1278" s="671" t="s">
        <v>329</v>
      </c>
      <c r="B1278" s="671"/>
      <c r="C1278" s="671"/>
      <c r="D1278" s="1">
        <v>100</v>
      </c>
      <c r="E1278" s="2">
        <v>14.8</v>
      </c>
      <c r="F1278" s="2">
        <v>12.7</v>
      </c>
      <c r="G1278" s="2">
        <v>12</v>
      </c>
      <c r="H1278" s="3">
        <f>E1278*4+F1278*9+G1278*4</f>
        <v>221.5</v>
      </c>
      <c r="I1278" s="294" t="s">
        <v>222</v>
      </c>
      <c r="J1278" s="9"/>
      <c r="K1278" s="28" t="s">
        <v>24</v>
      </c>
      <c r="L1278" s="82">
        <f>C1341+C1344+++C1354+C1356+C1366+C1367+C1368</f>
        <v>157.875</v>
      </c>
      <c r="M1278" s="87"/>
    </row>
    <row r="1279" spans="1:13" ht="30" customHeight="1">
      <c r="A1279" s="132" t="s">
        <v>328</v>
      </c>
      <c r="B1279" s="37">
        <f>C1279*1.17</f>
        <v>43.29</v>
      </c>
      <c r="C1279" s="57">
        <v>37</v>
      </c>
      <c r="D1279" s="1"/>
      <c r="E1279" s="2"/>
      <c r="F1279" s="2"/>
      <c r="G1279" s="2"/>
      <c r="H1279" s="3"/>
      <c r="I1279" s="294"/>
      <c r="J1279" s="9"/>
      <c r="K1279" s="28" t="s">
        <v>21</v>
      </c>
      <c r="L1279" s="82">
        <f>C1377++C1378</f>
        <v>41</v>
      </c>
      <c r="M1279" s="87"/>
    </row>
    <row r="1280" spans="1:21" ht="30" customHeight="1">
      <c r="A1280" s="132" t="s">
        <v>45</v>
      </c>
      <c r="B1280" s="37">
        <f>C1280*1.36</f>
        <v>50.32</v>
      </c>
      <c r="C1280" s="57">
        <v>37</v>
      </c>
      <c r="D1280" s="22"/>
      <c r="E1280" s="43"/>
      <c r="F1280" s="43"/>
      <c r="G1280" s="43"/>
      <c r="H1280" s="26"/>
      <c r="I1280" s="43"/>
      <c r="J1280" s="9"/>
      <c r="K1280" s="28" t="s">
        <v>25</v>
      </c>
      <c r="L1280" s="82"/>
      <c r="M1280" s="87"/>
      <c r="S1280" s="83"/>
      <c r="T1280" s="83"/>
      <c r="U1280" s="83"/>
    </row>
    <row r="1281" spans="1:13" ht="30" customHeight="1">
      <c r="A1281" s="132" t="s">
        <v>46</v>
      </c>
      <c r="B1281" s="37">
        <f>C1281*1.18</f>
        <v>43.66</v>
      </c>
      <c r="C1281" s="57">
        <v>37</v>
      </c>
      <c r="D1281" s="22"/>
      <c r="E1281" s="43"/>
      <c r="F1281" s="43"/>
      <c r="G1281" s="43"/>
      <c r="H1281" s="26"/>
      <c r="I1281" s="295"/>
      <c r="J1281" s="9"/>
      <c r="K1281" s="28" t="s">
        <v>61</v>
      </c>
      <c r="M1281" s="87"/>
    </row>
    <row r="1282" spans="1:13" ht="30" customHeight="1">
      <c r="A1282" s="147" t="s">
        <v>42</v>
      </c>
      <c r="B1282" s="23">
        <v>18</v>
      </c>
      <c r="C1282" s="23">
        <v>18</v>
      </c>
      <c r="D1282" s="22"/>
      <c r="E1282" s="43"/>
      <c r="F1282" s="43"/>
      <c r="G1282" s="43"/>
      <c r="H1282" s="26"/>
      <c r="I1282" s="295"/>
      <c r="J1282" s="9"/>
      <c r="K1282" s="28" t="s">
        <v>20</v>
      </c>
      <c r="L1282" s="82">
        <f>B1314+C1379+C1337+C1371</f>
        <v>46</v>
      </c>
      <c r="M1282" s="87"/>
    </row>
    <row r="1283" spans="1:13" ht="30" customHeight="1">
      <c r="A1283" s="53" t="s">
        <v>326</v>
      </c>
      <c r="B1283" s="23">
        <v>12</v>
      </c>
      <c r="C1283" s="23">
        <v>12</v>
      </c>
      <c r="D1283" s="22"/>
      <c r="E1283" s="43"/>
      <c r="F1283" s="43"/>
      <c r="G1283" s="43"/>
      <c r="H1283" s="26"/>
      <c r="I1283" s="295"/>
      <c r="J1283" s="9"/>
      <c r="K1283" s="28" t="s">
        <v>26</v>
      </c>
      <c r="M1283" s="87"/>
    </row>
    <row r="1284" spans="1:13" ht="30" customHeight="1">
      <c r="A1284" s="101" t="s">
        <v>51</v>
      </c>
      <c r="B1284" s="437">
        <f>C1284*1.19</f>
        <v>9.52</v>
      </c>
      <c r="C1284" s="146">
        <v>8</v>
      </c>
      <c r="D1284" s="22"/>
      <c r="E1284" s="43"/>
      <c r="F1284" s="43"/>
      <c r="G1284" s="43"/>
      <c r="H1284" s="26"/>
      <c r="I1284" s="295"/>
      <c r="J1284" s="9"/>
      <c r="K1284" s="27" t="s">
        <v>79</v>
      </c>
      <c r="L1284" s="82">
        <f>C1335</f>
        <v>5</v>
      </c>
      <c r="M1284" s="87"/>
    </row>
    <row r="1285" spans="1:13" ht="30" customHeight="1">
      <c r="A1285" s="25" t="s">
        <v>91</v>
      </c>
      <c r="B1285" s="57">
        <v>4</v>
      </c>
      <c r="C1285" s="57">
        <v>4</v>
      </c>
      <c r="D1285" s="22"/>
      <c r="E1285" s="50"/>
      <c r="F1285" s="43"/>
      <c r="G1285" s="43"/>
      <c r="H1285" s="26"/>
      <c r="I1285" s="295"/>
      <c r="J1285" s="9"/>
      <c r="K1285" s="28" t="s">
        <v>27</v>
      </c>
      <c r="L1285" s="81"/>
      <c r="M1285" s="87"/>
    </row>
    <row r="1286" spans="1:13" ht="30" customHeight="1">
      <c r="A1286" s="102" t="s">
        <v>327</v>
      </c>
      <c r="B1286" s="400">
        <v>10</v>
      </c>
      <c r="C1286" s="400">
        <v>10</v>
      </c>
      <c r="D1286" s="282"/>
      <c r="E1286" s="43"/>
      <c r="F1286" s="43"/>
      <c r="G1286" s="43"/>
      <c r="H1286" s="26"/>
      <c r="I1286" s="43"/>
      <c r="J1286" s="9"/>
      <c r="K1286" s="27" t="s">
        <v>199</v>
      </c>
      <c r="L1286" s="262"/>
      <c r="M1286" s="87"/>
    </row>
    <row r="1287" spans="1:13" ht="30" customHeight="1">
      <c r="A1287" s="101" t="s">
        <v>44</v>
      </c>
      <c r="B1287" s="64">
        <v>2</v>
      </c>
      <c r="C1287" s="146">
        <v>2</v>
      </c>
      <c r="D1287" s="22"/>
      <c r="E1287" s="43"/>
      <c r="F1287" s="43"/>
      <c r="G1287" s="43"/>
      <c r="H1287" s="26"/>
      <c r="I1287" s="295"/>
      <c r="J1287" s="9"/>
      <c r="K1287" s="28" t="s">
        <v>67</v>
      </c>
      <c r="L1287" s="82">
        <f>C1348</f>
        <v>16</v>
      </c>
      <c r="M1287" s="87"/>
    </row>
    <row r="1288" spans="1:13" ht="30" customHeight="1">
      <c r="A1288" s="674" t="s">
        <v>379</v>
      </c>
      <c r="B1288" s="674"/>
      <c r="C1288" s="674"/>
      <c r="D1288" s="1">
        <v>180</v>
      </c>
      <c r="E1288" s="2">
        <v>5.6</v>
      </c>
      <c r="F1288" s="2">
        <v>5.8</v>
      </c>
      <c r="G1288" s="2">
        <v>24.72</v>
      </c>
      <c r="H1288" s="3">
        <f>G1288*4+F1288*9+E1288*4</f>
        <v>173.48</v>
      </c>
      <c r="I1288" s="297" t="s">
        <v>241</v>
      </c>
      <c r="J1288" s="9"/>
      <c r="K1288" s="27" t="s">
        <v>200</v>
      </c>
      <c r="L1288" s="263"/>
      <c r="M1288" s="87"/>
    </row>
    <row r="1289" spans="1:13" ht="30" customHeight="1">
      <c r="A1289" s="53" t="s">
        <v>53</v>
      </c>
      <c r="B1289" s="23">
        <v>45</v>
      </c>
      <c r="C1289" s="23">
        <v>45</v>
      </c>
      <c r="D1289" s="22"/>
      <c r="E1289" s="160"/>
      <c r="F1289" s="160"/>
      <c r="G1289" s="160"/>
      <c r="H1289" s="3"/>
      <c r="I1289" s="297"/>
      <c r="J1289" s="9"/>
      <c r="K1289" s="27" t="s">
        <v>62</v>
      </c>
      <c r="L1289" s="82"/>
      <c r="M1289" s="87"/>
    </row>
    <row r="1290" spans="1:13" ht="30" customHeight="1">
      <c r="A1290" s="53" t="s">
        <v>60</v>
      </c>
      <c r="B1290" s="23">
        <v>144</v>
      </c>
      <c r="C1290" s="23">
        <v>144</v>
      </c>
      <c r="D1290" s="22"/>
      <c r="E1290" s="35"/>
      <c r="F1290" s="35"/>
      <c r="G1290" s="35"/>
      <c r="H1290" s="26"/>
      <c r="I1290" s="297"/>
      <c r="J1290" s="9"/>
      <c r="K1290" s="28" t="s">
        <v>28</v>
      </c>
      <c r="L1290" s="82">
        <f>C1363</f>
        <v>144</v>
      </c>
      <c r="M1290" s="87"/>
    </row>
    <row r="1291" spans="1:13" ht="30" customHeight="1">
      <c r="A1291" s="89" t="s">
        <v>40</v>
      </c>
      <c r="B1291" s="23">
        <v>6</v>
      </c>
      <c r="C1291" s="23">
        <v>6</v>
      </c>
      <c r="D1291" s="43"/>
      <c r="E1291" s="43"/>
      <c r="F1291" s="43"/>
      <c r="G1291" s="43"/>
      <c r="H1291" s="26"/>
      <c r="I1291" s="304"/>
      <c r="J1291" s="9"/>
      <c r="K1291" s="30" t="s">
        <v>29</v>
      </c>
      <c r="L1291" s="82">
        <f>C1336++C1316</f>
        <v>160</v>
      </c>
      <c r="M1291" s="87"/>
    </row>
    <row r="1292" spans="1:21" ht="30" customHeight="1">
      <c r="A1292" s="511" t="s">
        <v>297</v>
      </c>
      <c r="B1292" s="511"/>
      <c r="C1292" s="511"/>
      <c r="D1292" s="4">
        <v>200</v>
      </c>
      <c r="E1292" s="222">
        <v>0.3</v>
      </c>
      <c r="F1292" s="222">
        <v>0.2</v>
      </c>
      <c r="G1292" s="222">
        <v>21.5</v>
      </c>
      <c r="H1292" s="3">
        <f>E1292*4+F1292*9+G1292*4</f>
        <v>89</v>
      </c>
      <c r="I1292" s="297" t="s">
        <v>298</v>
      </c>
      <c r="J1292" s="9"/>
      <c r="K1292" s="72" t="s">
        <v>85</v>
      </c>
      <c r="L1292" s="82">
        <f>D1338</f>
        <v>125</v>
      </c>
      <c r="M1292" s="87"/>
      <c r="S1292" s="83"/>
      <c r="T1292" s="83"/>
      <c r="U1292" s="83"/>
    </row>
    <row r="1293" spans="1:13" ht="30" customHeight="1">
      <c r="A1293" s="59" t="s">
        <v>207</v>
      </c>
      <c r="B1293" s="156">
        <f>C1293*1.05</f>
        <v>25.200000000000003</v>
      </c>
      <c r="C1293" s="156">
        <v>24</v>
      </c>
      <c r="D1293" s="158"/>
      <c r="E1293" s="228"/>
      <c r="F1293" s="228"/>
      <c r="G1293" s="228"/>
      <c r="H1293" s="3"/>
      <c r="I1293" s="301"/>
      <c r="J1293" s="9"/>
      <c r="K1293" s="27" t="s">
        <v>30</v>
      </c>
      <c r="L1293" s="82">
        <f>C1311</f>
        <v>145</v>
      </c>
      <c r="M1293" s="87"/>
    </row>
    <row r="1294" spans="1:13" ht="30" customHeight="1">
      <c r="A1294" s="59" t="s">
        <v>143</v>
      </c>
      <c r="B1294" s="156">
        <f>C1294*1.05</f>
        <v>25.200000000000003</v>
      </c>
      <c r="C1294" s="156">
        <v>24</v>
      </c>
      <c r="D1294" s="158"/>
      <c r="E1294" s="228"/>
      <c r="F1294" s="228"/>
      <c r="G1294" s="228"/>
      <c r="H1294" s="3"/>
      <c r="I1294" s="301"/>
      <c r="J1294" s="9"/>
      <c r="K1294" s="27" t="s">
        <v>31</v>
      </c>
      <c r="L1294" s="82">
        <f>B1312</f>
        <v>20</v>
      </c>
      <c r="M1294" s="87"/>
    </row>
    <row r="1295" spans="1:13" ht="30" customHeight="1">
      <c r="A1295" s="165" t="s">
        <v>208</v>
      </c>
      <c r="B1295" s="156">
        <f>C1295*1.05</f>
        <v>25.200000000000003</v>
      </c>
      <c r="C1295" s="156">
        <v>24</v>
      </c>
      <c r="D1295" s="194"/>
      <c r="E1295" s="232"/>
      <c r="F1295" s="232"/>
      <c r="G1295" s="232"/>
      <c r="H1295" s="533"/>
      <c r="I1295" s="301"/>
      <c r="J1295" s="9"/>
      <c r="K1295" s="28" t="s">
        <v>68</v>
      </c>
      <c r="L1295" s="80">
        <f>C1309</f>
        <v>20</v>
      </c>
      <c r="M1295" s="87"/>
    </row>
    <row r="1296" spans="1:27" s="40" customFormat="1" ht="30" customHeight="1">
      <c r="A1296" s="25" t="s">
        <v>39</v>
      </c>
      <c r="B1296" s="166">
        <v>15</v>
      </c>
      <c r="C1296" s="166">
        <v>15</v>
      </c>
      <c r="D1296" s="194"/>
      <c r="E1296" s="232"/>
      <c r="F1296" s="232"/>
      <c r="G1296" s="232"/>
      <c r="H1296" s="533"/>
      <c r="I1296" s="301"/>
      <c r="J1296" s="9"/>
      <c r="K1296" s="27" t="s">
        <v>32</v>
      </c>
      <c r="L1296" s="82">
        <f>C1357+C1375+B1317</f>
        <v>15</v>
      </c>
      <c r="M1296" s="87"/>
      <c r="N1296" s="80"/>
      <c r="Q1296" s="80"/>
      <c r="R1296" s="80"/>
      <c r="S1296" s="80"/>
      <c r="T1296" s="80"/>
      <c r="U1296" s="80"/>
      <c r="V1296" s="80"/>
      <c r="W1296" s="80"/>
      <c r="X1296" s="80"/>
      <c r="Y1296" s="80"/>
      <c r="Z1296" s="80"/>
      <c r="AA1296" s="80"/>
    </row>
    <row r="1297" spans="1:13" ht="30" customHeight="1">
      <c r="A1297" s="25" t="s">
        <v>299</v>
      </c>
      <c r="B1297" s="46">
        <v>7</v>
      </c>
      <c r="C1297" s="46">
        <v>7</v>
      </c>
      <c r="D1297" s="1"/>
      <c r="E1297" s="2"/>
      <c r="F1297" s="2"/>
      <c r="G1297" s="2"/>
      <c r="H1297" s="3"/>
      <c r="I1297" s="333"/>
      <c r="J1297" s="9"/>
      <c r="K1297" s="27" t="s">
        <v>23</v>
      </c>
      <c r="L1297" s="82">
        <f>B1370+C1345</f>
        <v>10</v>
      </c>
      <c r="M1297" s="87"/>
    </row>
    <row r="1298" spans="1:13" ht="30" customHeight="1">
      <c r="A1298" s="674" t="s">
        <v>34</v>
      </c>
      <c r="B1298" s="674"/>
      <c r="C1298" s="674"/>
      <c r="D1298" s="1">
        <v>40</v>
      </c>
      <c r="E1298" s="2">
        <v>1.88</v>
      </c>
      <c r="F1298" s="2">
        <v>0.4</v>
      </c>
      <c r="G1298" s="2">
        <v>17.48</v>
      </c>
      <c r="H1298" s="3">
        <v>81.04</v>
      </c>
      <c r="I1298" s="294"/>
      <c r="J1298" s="9"/>
      <c r="K1298" s="28" t="s">
        <v>33</v>
      </c>
      <c r="L1298" s="82">
        <f>B1313</f>
        <v>10</v>
      </c>
      <c r="M1298" s="87"/>
    </row>
    <row r="1299" spans="1:13" ht="30" customHeight="1">
      <c r="A1299" s="675" t="s">
        <v>145</v>
      </c>
      <c r="B1299" s="675"/>
      <c r="C1299" s="675"/>
      <c r="D1299" s="1">
        <v>40</v>
      </c>
      <c r="E1299" s="2"/>
      <c r="F1299" s="2"/>
      <c r="G1299" s="2"/>
      <c r="H1299" s="3"/>
      <c r="I1299" s="294"/>
      <c r="J1299" s="9"/>
      <c r="K1299" s="28" t="s">
        <v>78</v>
      </c>
      <c r="L1299" s="81"/>
      <c r="M1299" s="87"/>
    </row>
    <row r="1300" spans="1:13" ht="30" customHeight="1">
      <c r="A1300" s="674" t="s">
        <v>74</v>
      </c>
      <c r="B1300" s="674"/>
      <c r="C1300" s="674"/>
      <c r="D1300" s="3">
        <v>60</v>
      </c>
      <c r="E1300" s="2">
        <v>3</v>
      </c>
      <c r="F1300" s="2">
        <v>0.8400000000000001</v>
      </c>
      <c r="G1300" s="2">
        <v>24.3</v>
      </c>
      <c r="H1300" s="3">
        <v>116.76000000000002</v>
      </c>
      <c r="I1300" s="294"/>
      <c r="J1300" s="9"/>
      <c r="K1300" s="264" t="s">
        <v>193</v>
      </c>
      <c r="M1300" s="87"/>
    </row>
    <row r="1301" spans="1:18" ht="30" customHeight="1">
      <c r="A1301" s="675" t="s">
        <v>72</v>
      </c>
      <c r="B1301" s="675"/>
      <c r="C1301" s="675"/>
      <c r="D1301" s="1">
        <v>60</v>
      </c>
      <c r="E1301" s="2"/>
      <c r="F1301" s="2"/>
      <c r="G1301" s="2"/>
      <c r="H1301" s="3"/>
      <c r="I1301" s="294"/>
      <c r="J1301" s="9"/>
      <c r="M1301" s="87"/>
      <c r="N1301" s="40"/>
      <c r="Q1301" s="40"/>
      <c r="R1301" s="40"/>
    </row>
    <row r="1302" spans="1:13" ht="30" customHeight="1">
      <c r="A1302" s="698" t="s">
        <v>202</v>
      </c>
      <c r="B1302" s="698"/>
      <c r="C1302" s="698"/>
      <c r="D1302" s="266"/>
      <c r="E1302" s="235">
        <f>E1236+E1256</f>
        <v>48.18</v>
      </c>
      <c r="F1302" s="235">
        <f>F1236+F1256</f>
        <v>50.339999999999996</v>
      </c>
      <c r="G1302" s="235">
        <f>G1236+G1256</f>
        <v>225.5</v>
      </c>
      <c r="H1302" s="267">
        <f>H1236+H1256</f>
        <v>1546.9999999999998</v>
      </c>
      <c r="I1302" s="302"/>
      <c r="J1302" s="9"/>
      <c r="M1302" s="87"/>
    </row>
    <row r="1303" spans="1:17" ht="30" customHeight="1">
      <c r="A1303" s="707" t="s">
        <v>127</v>
      </c>
      <c r="B1303" s="707"/>
      <c r="C1303" s="707"/>
      <c r="D1303" s="707"/>
      <c r="E1303" s="707"/>
      <c r="F1303" s="707"/>
      <c r="G1303" s="707"/>
      <c r="H1303" s="707"/>
      <c r="I1303" s="707"/>
      <c r="J1303" s="9"/>
      <c r="M1303" s="87"/>
      <c r="N1303" s="40"/>
      <c r="Q1303" s="40"/>
    </row>
    <row r="1304" spans="1:13" ht="30" customHeight="1">
      <c r="A1304" s="693" t="s">
        <v>1</v>
      </c>
      <c r="B1304" s="676" t="s">
        <v>2</v>
      </c>
      <c r="C1304" s="676" t="s">
        <v>3</v>
      </c>
      <c r="D1304" s="676" t="s">
        <v>4</v>
      </c>
      <c r="E1304" s="676"/>
      <c r="F1304" s="676"/>
      <c r="G1304" s="676"/>
      <c r="H1304" s="676"/>
      <c r="I1304" s="682" t="s">
        <v>201</v>
      </c>
      <c r="J1304" s="9"/>
      <c r="M1304" s="87"/>
    </row>
    <row r="1305" spans="1:13" ht="30" customHeight="1">
      <c r="A1305" s="693"/>
      <c r="B1305" s="676"/>
      <c r="C1305" s="676"/>
      <c r="D1305" s="6" t="s">
        <v>5</v>
      </c>
      <c r="E1305" s="62" t="s">
        <v>6</v>
      </c>
      <c r="F1305" s="62" t="s">
        <v>7</v>
      </c>
      <c r="G1305" s="62" t="s">
        <v>8</v>
      </c>
      <c r="H1305" s="69" t="s">
        <v>9</v>
      </c>
      <c r="I1305" s="682"/>
      <c r="J1305" s="9"/>
      <c r="M1305" s="87"/>
    </row>
    <row r="1306" spans="1:13" ht="30" customHeight="1">
      <c r="A1306" s="690" t="s">
        <v>10</v>
      </c>
      <c r="B1306" s="690"/>
      <c r="C1306" s="690"/>
      <c r="D1306" s="243">
        <f>40+220+D1334+D1338</f>
        <v>585</v>
      </c>
      <c r="E1306" s="71">
        <f>E1307+E1310+E1334+E1338</f>
        <v>30</v>
      </c>
      <c r="F1306" s="71">
        <f>F1307+F1310+F1334+F1338</f>
        <v>26</v>
      </c>
      <c r="G1306" s="71">
        <f>G1307+G1310+G1334+G1338</f>
        <v>71.8</v>
      </c>
      <c r="H1306" s="265">
        <f>H1307+H1310+H1334+H1338</f>
        <v>641.2</v>
      </c>
      <c r="I1306" s="293"/>
      <c r="J1306" s="9"/>
      <c r="M1306" s="87"/>
    </row>
    <row r="1307" spans="1:13" ht="30" customHeight="1">
      <c r="A1307" s="672" t="s">
        <v>228</v>
      </c>
      <c r="B1307" s="672"/>
      <c r="C1307" s="672"/>
      <c r="D1307" s="223" t="s">
        <v>303</v>
      </c>
      <c r="E1307" s="63">
        <v>5.7</v>
      </c>
      <c r="F1307" s="224">
        <v>6.2</v>
      </c>
      <c r="G1307" s="63">
        <v>7.2</v>
      </c>
      <c r="H1307" s="3">
        <f>E1307*4+F1307*9+G1307*4</f>
        <v>107.4</v>
      </c>
      <c r="I1307" s="294" t="s">
        <v>229</v>
      </c>
      <c r="J1307" s="36"/>
      <c r="M1307" s="87"/>
    </row>
    <row r="1308" spans="1:13" ht="30" customHeight="1">
      <c r="A1308" s="101" t="s">
        <v>393</v>
      </c>
      <c r="B1308" s="58">
        <v>20</v>
      </c>
      <c r="C1308" s="58">
        <v>20</v>
      </c>
      <c r="D1308" s="218"/>
      <c r="E1308" s="225"/>
      <c r="F1308" s="225"/>
      <c r="G1308" s="225"/>
      <c r="H1308" s="233"/>
      <c r="I1308" s="296"/>
      <c r="J1308" s="9"/>
      <c r="M1308" s="87"/>
    </row>
    <row r="1309" spans="1:13" ht="30" customHeight="1">
      <c r="A1309" s="89" t="s">
        <v>58</v>
      </c>
      <c r="B1309" s="57">
        <v>21</v>
      </c>
      <c r="C1309" s="58">
        <v>20</v>
      </c>
      <c r="D1309" s="218"/>
      <c r="E1309" s="225"/>
      <c r="F1309" s="225"/>
      <c r="G1309" s="225"/>
      <c r="H1309" s="233"/>
      <c r="I1309" s="296"/>
      <c r="J1309" s="36"/>
      <c r="M1309" s="87"/>
    </row>
    <row r="1310" spans="1:13" ht="30" customHeight="1">
      <c r="A1310" s="675" t="s">
        <v>318</v>
      </c>
      <c r="B1310" s="675"/>
      <c r="C1310" s="675"/>
      <c r="D1310" s="158" t="s">
        <v>116</v>
      </c>
      <c r="E1310" s="2">
        <v>19.1</v>
      </c>
      <c r="F1310" s="2">
        <v>15.1</v>
      </c>
      <c r="G1310" s="2">
        <v>38.9</v>
      </c>
      <c r="H1310" s="238">
        <f>G1310*4+F1310*9+E1310*4</f>
        <v>367.9</v>
      </c>
      <c r="I1310" s="294" t="s">
        <v>317</v>
      </c>
      <c r="J1310" s="9"/>
      <c r="M1310" s="87"/>
    </row>
    <row r="1311" spans="1:13" ht="30" customHeight="1">
      <c r="A1311" s="53" t="s">
        <v>56</v>
      </c>
      <c r="B1311" s="45">
        <v>147</v>
      </c>
      <c r="C1311" s="45">
        <v>145</v>
      </c>
      <c r="D1311" s="287"/>
      <c r="E1311" s="287"/>
      <c r="F1311" s="287"/>
      <c r="G1311" s="287"/>
      <c r="H1311" s="535"/>
      <c r="I1311" s="23"/>
      <c r="J1311" s="9"/>
      <c r="M1311" s="87"/>
    </row>
    <row r="1312" spans="1:13" ht="30" customHeight="1">
      <c r="A1312" s="53" t="s">
        <v>52</v>
      </c>
      <c r="B1312" s="45">
        <v>20</v>
      </c>
      <c r="C1312" s="45">
        <v>20</v>
      </c>
      <c r="D1312" s="287"/>
      <c r="E1312" s="287"/>
      <c r="F1312" s="2"/>
      <c r="G1312" s="2"/>
      <c r="H1312" s="45"/>
      <c r="I1312" s="23"/>
      <c r="J1312" s="9"/>
      <c r="M1312" s="87"/>
    </row>
    <row r="1313" spans="1:13" ht="30" customHeight="1">
      <c r="A1313" s="25" t="s">
        <v>91</v>
      </c>
      <c r="B1313" s="26">
        <v>10</v>
      </c>
      <c r="C1313" s="26">
        <v>10</v>
      </c>
      <c r="D1313" s="287"/>
      <c r="E1313" s="287"/>
      <c r="F1313" s="23"/>
      <c r="G1313" s="23"/>
      <c r="H1313" s="26"/>
      <c r="I1313" s="43"/>
      <c r="J1313" s="9"/>
      <c r="M1313" s="87"/>
    </row>
    <row r="1314" spans="1:13" ht="30" customHeight="1">
      <c r="A1314" s="20" t="s">
        <v>39</v>
      </c>
      <c r="B1314" s="45">
        <v>15</v>
      </c>
      <c r="C1314" s="45">
        <v>15</v>
      </c>
      <c r="D1314" s="287"/>
      <c r="E1314" s="287"/>
      <c r="F1314" s="32"/>
      <c r="G1314" s="32"/>
      <c r="H1314" s="45"/>
      <c r="I1314" s="32"/>
      <c r="J1314" s="9"/>
      <c r="M1314" s="87"/>
    </row>
    <row r="1315" spans="1:13" ht="30" customHeight="1">
      <c r="A1315" s="20" t="s">
        <v>54</v>
      </c>
      <c r="B1315" s="45">
        <v>15</v>
      </c>
      <c r="C1315" s="45">
        <v>15</v>
      </c>
      <c r="D1315" s="287"/>
      <c r="E1315" s="287"/>
      <c r="F1315" s="2"/>
      <c r="G1315" s="2"/>
      <c r="H1315" s="238"/>
      <c r="I1315" s="2"/>
      <c r="J1315" s="9"/>
      <c r="M1315" s="87"/>
    </row>
    <row r="1316" spans="1:13" ht="30" customHeight="1">
      <c r="A1316" s="20" t="s">
        <v>63</v>
      </c>
      <c r="B1316" s="45">
        <v>30</v>
      </c>
      <c r="C1316" s="45">
        <v>30</v>
      </c>
      <c r="D1316" s="287"/>
      <c r="E1316" s="287"/>
      <c r="F1316" s="2"/>
      <c r="G1316" s="2"/>
      <c r="H1316" s="238"/>
      <c r="I1316" s="2"/>
      <c r="J1316" s="9"/>
      <c r="M1316" s="87"/>
    </row>
    <row r="1317" spans="1:13" ht="30" customHeight="1">
      <c r="A1317" s="169" t="s">
        <v>64</v>
      </c>
      <c r="B1317" s="142">
        <v>5</v>
      </c>
      <c r="C1317" s="142">
        <v>5</v>
      </c>
      <c r="D1317" s="287"/>
      <c r="E1317" s="287"/>
      <c r="F1317" s="229"/>
      <c r="G1317" s="229"/>
      <c r="H1317" s="230"/>
      <c r="I1317" s="313"/>
      <c r="J1317" s="9"/>
      <c r="M1317" s="87"/>
    </row>
    <row r="1318" spans="1:13" ht="30.75" customHeight="1">
      <c r="A1318" s="115" t="s">
        <v>289</v>
      </c>
      <c r="B1318" s="45"/>
      <c r="C1318" s="45">
        <v>200</v>
      </c>
      <c r="D1318" s="287"/>
      <c r="E1318" s="287"/>
      <c r="F1318" s="32"/>
      <c r="G1318" s="32"/>
      <c r="H1318" s="45"/>
      <c r="I1318" s="32"/>
      <c r="J1318" s="9"/>
      <c r="M1318" s="87"/>
    </row>
    <row r="1319" spans="1:13" ht="30.75" customHeight="1">
      <c r="A1319" s="115" t="s">
        <v>108</v>
      </c>
      <c r="B1319" s="23">
        <v>20.2</v>
      </c>
      <c r="C1319" s="45">
        <v>20</v>
      </c>
      <c r="D1319" s="287"/>
      <c r="E1319" s="23"/>
      <c r="F1319" s="32"/>
      <c r="G1319" s="32"/>
      <c r="H1319" s="45"/>
      <c r="I1319" s="32"/>
      <c r="J1319" s="9"/>
      <c r="M1319" s="87"/>
    </row>
    <row r="1320" spans="1:17" ht="30.75" customHeight="1">
      <c r="A1320" s="692" t="s">
        <v>95</v>
      </c>
      <c r="B1320" s="692"/>
      <c r="C1320" s="692"/>
      <c r="D1320" s="692"/>
      <c r="E1320" s="692"/>
      <c r="F1320" s="692"/>
      <c r="G1320" s="692"/>
      <c r="H1320" s="692"/>
      <c r="I1320" s="692"/>
      <c r="J1320" s="9"/>
      <c r="M1320" s="87"/>
      <c r="O1320" s="95"/>
      <c r="P1320" s="95"/>
      <c r="Q1320" s="95"/>
    </row>
    <row r="1321" spans="1:18" ht="30.75" customHeight="1">
      <c r="A1321" s="671" t="s">
        <v>432</v>
      </c>
      <c r="B1321" s="671"/>
      <c r="C1321" s="671"/>
      <c r="D1321" s="1">
        <v>200</v>
      </c>
      <c r="E1321" s="2">
        <v>26.3</v>
      </c>
      <c r="F1321" s="2">
        <v>17.2</v>
      </c>
      <c r="G1321" s="2">
        <v>29.2</v>
      </c>
      <c r="H1321" s="3">
        <f>E1321*4+F1321*9+G1321*4</f>
        <v>376.8</v>
      </c>
      <c r="I1321" s="297" t="s">
        <v>433</v>
      </c>
      <c r="J1321" s="9"/>
      <c r="M1321" s="87"/>
      <c r="O1321" s="95"/>
      <c r="P1321" s="95"/>
      <c r="Q1321" s="95"/>
      <c r="R1321" s="151"/>
    </row>
    <row r="1322" spans="1:13" ht="30.75" customHeight="1">
      <c r="A1322" s="100" t="s">
        <v>56</v>
      </c>
      <c r="B1322" s="46">
        <v>173</v>
      </c>
      <c r="C1322" s="46">
        <v>172</v>
      </c>
      <c r="D1322" s="47"/>
      <c r="E1322" s="47"/>
      <c r="F1322" s="47"/>
      <c r="G1322" s="47"/>
      <c r="H1322" s="46"/>
      <c r="I1322" s="514"/>
      <c r="J1322" s="9"/>
      <c r="M1322" s="87"/>
    </row>
    <row r="1323" spans="1:13" ht="30.75" customHeight="1">
      <c r="A1323" s="89" t="s">
        <v>54</v>
      </c>
      <c r="B1323" s="57">
        <v>15</v>
      </c>
      <c r="C1323" s="57">
        <v>15</v>
      </c>
      <c r="D1323" s="47"/>
      <c r="E1323" s="47"/>
      <c r="F1323" s="21"/>
      <c r="G1323" s="21"/>
      <c r="H1323" s="238"/>
      <c r="I1323" s="300"/>
      <c r="J1323" s="9"/>
      <c r="M1323" s="87"/>
    </row>
    <row r="1324" spans="1:13" ht="30.75" customHeight="1">
      <c r="A1324" s="100" t="s">
        <v>434</v>
      </c>
      <c r="B1324" s="46">
        <v>12</v>
      </c>
      <c r="C1324" s="46">
        <v>12</v>
      </c>
      <c r="D1324" s="47"/>
      <c r="E1324" s="47"/>
      <c r="F1324" s="50"/>
      <c r="G1324" s="50"/>
      <c r="H1324" s="46"/>
      <c r="I1324" s="468"/>
      <c r="J1324" s="9"/>
      <c r="M1324" s="87"/>
    </row>
    <row r="1325" spans="1:13" ht="30.75" customHeight="1">
      <c r="A1325" s="100" t="s">
        <v>435</v>
      </c>
      <c r="B1325" s="46">
        <v>44</v>
      </c>
      <c r="C1325" s="46">
        <v>44</v>
      </c>
      <c r="D1325" s="47"/>
      <c r="E1325" s="47"/>
      <c r="F1325" s="50"/>
      <c r="G1325" s="50"/>
      <c r="H1325" s="3"/>
      <c r="I1325" s="514"/>
      <c r="J1325" s="9"/>
      <c r="M1325" s="87"/>
    </row>
    <row r="1326" spans="1:13" ht="30.75" customHeight="1">
      <c r="A1326" s="25" t="s">
        <v>91</v>
      </c>
      <c r="B1326" s="46">
        <v>15</v>
      </c>
      <c r="C1326" s="46">
        <v>15</v>
      </c>
      <c r="D1326" s="47"/>
      <c r="E1326" s="47"/>
      <c r="F1326" s="50"/>
      <c r="G1326" s="50"/>
      <c r="H1326" s="3"/>
      <c r="I1326" s="514"/>
      <c r="J1326" s="9"/>
      <c r="M1326" s="87"/>
    </row>
    <row r="1327" spans="1:13" ht="30.75" customHeight="1">
      <c r="A1327" s="100" t="s">
        <v>39</v>
      </c>
      <c r="B1327" s="46">
        <v>7</v>
      </c>
      <c r="C1327" s="46">
        <v>7</v>
      </c>
      <c r="D1327" s="47"/>
      <c r="E1327" s="47"/>
      <c r="F1327" s="50"/>
      <c r="G1327" s="50"/>
      <c r="H1327" s="3"/>
      <c r="I1327" s="514"/>
      <c r="J1327" s="9"/>
      <c r="M1327" s="87"/>
    </row>
    <row r="1328" spans="1:13" ht="30.75" customHeight="1">
      <c r="A1328" s="100" t="s">
        <v>82</v>
      </c>
      <c r="B1328" s="670">
        <v>0.012</v>
      </c>
      <c r="C1328" s="670">
        <v>0.012</v>
      </c>
      <c r="D1328" s="47"/>
      <c r="E1328" s="47"/>
      <c r="F1328" s="50"/>
      <c r="G1328" s="50"/>
      <c r="H1328" s="3"/>
      <c r="I1328" s="514"/>
      <c r="J1328" s="9"/>
      <c r="M1328" s="87"/>
    </row>
    <row r="1329" spans="1:27" s="83" customFormat="1" ht="30.75" customHeight="1">
      <c r="A1329" s="100" t="s">
        <v>52</v>
      </c>
      <c r="B1329" s="46">
        <v>7</v>
      </c>
      <c r="C1329" s="46">
        <v>7</v>
      </c>
      <c r="D1329" s="47"/>
      <c r="E1329" s="47"/>
      <c r="F1329" s="50"/>
      <c r="G1329" s="50"/>
      <c r="H1329" s="46"/>
      <c r="I1329" s="470"/>
      <c r="J1329" s="9"/>
      <c r="M1329" s="87"/>
      <c r="N1329" s="80"/>
      <c r="O1329" s="80"/>
      <c r="P1329" s="80"/>
      <c r="Q1329" s="80"/>
      <c r="R1329" s="80"/>
      <c r="S1329" s="80"/>
      <c r="T1329" s="80"/>
      <c r="U1329" s="80"/>
      <c r="V1329" s="80"/>
      <c r="W1329" s="80"/>
      <c r="X1329" s="80"/>
      <c r="Y1329" s="80"/>
      <c r="Z1329" s="80"/>
      <c r="AA1329" s="80"/>
    </row>
    <row r="1330" spans="1:13" ht="30.75" customHeight="1">
      <c r="A1330" s="20" t="s">
        <v>97</v>
      </c>
      <c r="B1330" s="57">
        <v>7</v>
      </c>
      <c r="C1330" s="57">
        <v>7</v>
      </c>
      <c r="D1330" s="47"/>
      <c r="E1330" s="47"/>
      <c r="F1330" s="38"/>
      <c r="G1330" s="38"/>
      <c r="H1330" s="57"/>
      <c r="I1330" s="515"/>
      <c r="J1330" s="9"/>
      <c r="M1330" s="87"/>
    </row>
    <row r="1331" spans="1:13" ht="30.75" customHeight="1">
      <c r="A1331" s="25" t="s">
        <v>64</v>
      </c>
      <c r="B1331" s="46">
        <v>4</v>
      </c>
      <c r="C1331" s="46">
        <v>4</v>
      </c>
      <c r="D1331" s="47"/>
      <c r="E1331" s="47"/>
      <c r="F1331" s="50"/>
      <c r="G1331" s="50"/>
      <c r="H1331" s="46"/>
      <c r="I1331" s="470"/>
      <c r="J1331" s="9"/>
      <c r="M1331" s="87"/>
    </row>
    <row r="1332" spans="1:13" ht="30.75" customHeight="1">
      <c r="A1332" s="25" t="s">
        <v>142</v>
      </c>
      <c r="B1332" s="46"/>
      <c r="C1332" s="46">
        <v>180</v>
      </c>
      <c r="D1332" s="47"/>
      <c r="E1332" s="47"/>
      <c r="F1332" s="50"/>
      <c r="G1332" s="50"/>
      <c r="H1332" s="46"/>
      <c r="I1332" s="470"/>
      <c r="J1332" s="9"/>
      <c r="M1332" s="87"/>
    </row>
    <row r="1333" spans="1:13" ht="30.75" customHeight="1">
      <c r="A1333" s="115" t="s">
        <v>108</v>
      </c>
      <c r="B1333" s="23">
        <v>20.2</v>
      </c>
      <c r="C1333" s="45">
        <v>20</v>
      </c>
      <c r="D1333" s="47"/>
      <c r="E1333" s="47"/>
      <c r="F1333" s="43"/>
      <c r="G1333" s="43"/>
      <c r="H1333" s="26"/>
      <c r="I1333" s="516"/>
      <c r="J1333" s="9"/>
      <c r="M1333" s="87"/>
    </row>
    <row r="1334" spans="1:13" ht="30.75" customHeight="1">
      <c r="A1334" s="674" t="s">
        <v>261</v>
      </c>
      <c r="B1334" s="674"/>
      <c r="C1334" s="674"/>
      <c r="D1334" s="1">
        <v>200</v>
      </c>
      <c r="E1334" s="2">
        <v>3.4</v>
      </c>
      <c r="F1334" s="1">
        <v>3.2</v>
      </c>
      <c r="G1334" s="1">
        <v>21.2</v>
      </c>
      <c r="H1334" s="104">
        <f>E1334*4+F1334*9+G1334*4</f>
        <v>127.19999999999999</v>
      </c>
      <c r="I1334" s="294" t="s">
        <v>262</v>
      </c>
      <c r="J1334" s="9"/>
      <c r="M1334" s="87"/>
    </row>
    <row r="1335" spans="1:13" ht="30" customHeight="1">
      <c r="A1335" s="100" t="s">
        <v>69</v>
      </c>
      <c r="B1335" s="46">
        <v>5</v>
      </c>
      <c r="C1335" s="46">
        <v>5</v>
      </c>
      <c r="D1335" s="47"/>
      <c r="E1335" s="50"/>
      <c r="F1335" s="50"/>
      <c r="G1335" s="50"/>
      <c r="H1335" s="46"/>
      <c r="I1335" s="305"/>
      <c r="J1335" s="9"/>
      <c r="M1335" s="87"/>
    </row>
    <row r="1336" spans="1:27" ht="30" customHeight="1">
      <c r="A1336" s="59" t="s">
        <v>63</v>
      </c>
      <c r="B1336" s="58">
        <v>130</v>
      </c>
      <c r="C1336" s="58">
        <v>130</v>
      </c>
      <c r="D1336" s="22"/>
      <c r="E1336" s="22"/>
      <c r="F1336" s="22"/>
      <c r="G1336" s="22"/>
      <c r="H1336" s="26"/>
      <c r="I1336" s="295"/>
      <c r="J1336" s="9"/>
      <c r="M1336" s="87"/>
      <c r="N1336" s="40"/>
      <c r="V1336" s="40"/>
      <c r="W1336" s="40"/>
      <c r="X1336" s="40"/>
      <c r="Y1336" s="40"/>
      <c r="Z1336" s="40"/>
      <c r="AA1336" s="40"/>
    </row>
    <row r="1337" spans="1:13" ht="30" customHeight="1">
      <c r="A1337" s="89" t="s">
        <v>39</v>
      </c>
      <c r="B1337" s="58">
        <v>15</v>
      </c>
      <c r="C1337" s="58">
        <v>15</v>
      </c>
      <c r="D1337" s="1"/>
      <c r="E1337" s="1"/>
      <c r="F1337" s="1"/>
      <c r="G1337" s="1"/>
      <c r="H1337" s="3"/>
      <c r="I1337" s="295"/>
      <c r="J1337" s="12"/>
      <c r="M1337" s="87"/>
    </row>
    <row r="1338" spans="1:13" ht="30" customHeight="1">
      <c r="A1338" s="683" t="s">
        <v>120</v>
      </c>
      <c r="B1338" s="683"/>
      <c r="C1338" s="683"/>
      <c r="D1338" s="1">
        <v>125</v>
      </c>
      <c r="E1338" s="2">
        <v>1.8</v>
      </c>
      <c r="F1338" s="2">
        <v>1.5</v>
      </c>
      <c r="G1338" s="2">
        <v>4.5</v>
      </c>
      <c r="H1338" s="3">
        <f>E1338*4+F1338*9+G1338*4</f>
        <v>38.7</v>
      </c>
      <c r="I1338" s="294"/>
      <c r="J1338" s="12"/>
      <c r="M1338" s="87"/>
    </row>
    <row r="1339" spans="1:13" ht="30" customHeight="1">
      <c r="A1339" s="690" t="s">
        <v>205</v>
      </c>
      <c r="B1339" s="690"/>
      <c r="C1339" s="690"/>
      <c r="D1339" s="243">
        <f>D1340+280+170+D1372+D1376</f>
        <v>930</v>
      </c>
      <c r="E1339" s="71">
        <f>E1340+E1346+E1359+E1372++E1376+E1380+E1382</f>
        <v>33.019999999999996</v>
      </c>
      <c r="F1339" s="71">
        <f>F1340+F1346+F1359+F1372++F1376+F1380+F1382</f>
        <v>27.34</v>
      </c>
      <c r="G1339" s="71">
        <f>G1340+G1346+G1359+G1372++G1376+G1380+G1382</f>
        <v>132.88</v>
      </c>
      <c r="H1339" s="265">
        <f>H1340+H1346+H1359+H1372++H1376+H1380+H1382</f>
        <v>909.66</v>
      </c>
      <c r="I1339" s="293"/>
      <c r="J1339" s="91"/>
      <c r="M1339" s="87"/>
    </row>
    <row r="1340" spans="1:27" s="40" customFormat="1" ht="30" customHeight="1">
      <c r="A1340" s="671" t="s">
        <v>535</v>
      </c>
      <c r="B1340" s="671"/>
      <c r="C1340" s="671"/>
      <c r="D1340" s="1">
        <v>100</v>
      </c>
      <c r="E1340" s="21">
        <v>0.9</v>
      </c>
      <c r="F1340" s="21">
        <v>5</v>
      </c>
      <c r="G1340" s="21">
        <v>3.5</v>
      </c>
      <c r="H1340" s="238">
        <f>E1340*4+F1340*9+G1340*4</f>
        <v>62.6</v>
      </c>
      <c r="I1340" s="297" t="s">
        <v>534</v>
      </c>
      <c r="J1340" s="9"/>
      <c r="M1340" s="87"/>
      <c r="N1340" s="80"/>
      <c r="O1340" s="80"/>
      <c r="P1340" s="80"/>
      <c r="Q1340" s="80"/>
      <c r="R1340" s="80"/>
      <c r="S1340" s="80"/>
      <c r="T1340" s="80"/>
      <c r="U1340" s="80"/>
      <c r="V1340" s="80"/>
      <c r="W1340" s="80"/>
      <c r="X1340" s="80"/>
      <c r="Y1340" s="80"/>
      <c r="Z1340" s="80"/>
      <c r="AA1340" s="80"/>
    </row>
    <row r="1341" spans="1:13" ht="30" customHeight="1">
      <c r="A1341" s="25" t="s">
        <v>75</v>
      </c>
      <c r="B1341" s="43">
        <f>C1341*1.02</f>
        <v>56.1</v>
      </c>
      <c r="C1341" s="22">
        <v>55</v>
      </c>
      <c r="D1341" s="22"/>
      <c r="E1341" s="43"/>
      <c r="F1341" s="43"/>
      <c r="G1341" s="43"/>
      <c r="H1341" s="26"/>
      <c r="I1341" s="44"/>
      <c r="J1341" s="9"/>
      <c r="M1341" s="87"/>
    </row>
    <row r="1342" spans="1:27" ht="30" customHeight="1">
      <c r="A1342" s="100" t="s">
        <v>89</v>
      </c>
      <c r="B1342" s="43">
        <f>C1342*1.18</f>
        <v>64.89999999999999</v>
      </c>
      <c r="C1342" s="22">
        <v>55</v>
      </c>
      <c r="D1342" s="22"/>
      <c r="E1342" s="32"/>
      <c r="F1342" s="32"/>
      <c r="G1342" s="38"/>
      <c r="H1342" s="57"/>
      <c r="I1342" s="65"/>
      <c r="J1342" s="36"/>
      <c r="M1342" s="87"/>
      <c r="S1342" s="40"/>
      <c r="T1342" s="40"/>
      <c r="U1342" s="40"/>
      <c r="V1342" s="83"/>
      <c r="W1342" s="83"/>
      <c r="X1342" s="83"/>
      <c r="Y1342" s="83"/>
      <c r="Z1342" s="83"/>
      <c r="AA1342" s="83"/>
    </row>
    <row r="1343" spans="1:13" ht="30" customHeight="1">
      <c r="A1343" s="25" t="s">
        <v>492</v>
      </c>
      <c r="B1343" s="43">
        <f>C1343*1.02</f>
        <v>42.84</v>
      </c>
      <c r="C1343" s="22">
        <v>42</v>
      </c>
      <c r="D1343" s="22"/>
      <c r="E1343" s="32"/>
      <c r="F1343" s="38"/>
      <c r="G1343" s="38"/>
      <c r="H1343" s="57"/>
      <c r="I1343" s="65"/>
      <c r="J1343" s="9"/>
      <c r="M1343" s="87"/>
    </row>
    <row r="1344" spans="1:27" ht="30" customHeight="1">
      <c r="A1344" s="25" t="s">
        <v>114</v>
      </c>
      <c r="B1344" s="43">
        <f>C1344*1.05</f>
        <v>44.1</v>
      </c>
      <c r="C1344" s="22">
        <v>42</v>
      </c>
      <c r="D1344" s="22"/>
      <c r="E1344" s="32"/>
      <c r="F1344" s="38"/>
      <c r="G1344" s="38"/>
      <c r="H1344" s="57"/>
      <c r="I1344" s="65"/>
      <c r="J1344" s="9"/>
      <c r="M1344" s="87"/>
      <c r="S1344" s="699"/>
      <c r="T1344" s="699"/>
      <c r="U1344" s="699"/>
      <c r="V1344" s="529"/>
      <c r="W1344" s="525"/>
      <c r="X1344" s="525"/>
      <c r="Y1344" s="525"/>
      <c r="Z1344" s="634"/>
      <c r="AA1344" s="362"/>
    </row>
    <row r="1345" spans="1:27" ht="30" customHeight="1">
      <c r="A1345" s="100" t="s">
        <v>44</v>
      </c>
      <c r="B1345" s="47">
        <v>5</v>
      </c>
      <c r="C1345" s="47">
        <v>5</v>
      </c>
      <c r="D1345" s="47"/>
      <c r="E1345" s="50"/>
      <c r="F1345" s="50"/>
      <c r="G1345" s="50"/>
      <c r="H1345" s="47"/>
      <c r="I1345" s="509"/>
      <c r="J1345" s="9"/>
      <c r="M1345" s="87"/>
      <c r="S1345" s="139"/>
      <c r="T1345" s="527"/>
      <c r="U1345" s="527"/>
      <c r="V1345" s="530"/>
      <c r="W1345" s="526"/>
      <c r="X1345" s="526"/>
      <c r="Y1345" s="526"/>
      <c r="Z1345" s="527"/>
      <c r="AA1345" s="526"/>
    </row>
    <row r="1346" spans="1:27" ht="30" customHeight="1">
      <c r="A1346" s="683" t="s">
        <v>336</v>
      </c>
      <c r="B1346" s="683"/>
      <c r="C1346" s="683"/>
      <c r="D1346" s="632" t="s">
        <v>335</v>
      </c>
      <c r="E1346" s="21">
        <v>5.1</v>
      </c>
      <c r="F1346" s="21">
        <v>4.8</v>
      </c>
      <c r="G1346" s="21">
        <v>30.2</v>
      </c>
      <c r="H1346" s="238">
        <f>E1346*4+F1346*9+G1346*4</f>
        <v>184.39999999999998</v>
      </c>
      <c r="I1346" s="300" t="s">
        <v>249</v>
      </c>
      <c r="J1346" s="9"/>
      <c r="M1346" s="87"/>
      <c r="S1346" s="139"/>
      <c r="T1346" s="78"/>
      <c r="U1346" s="78"/>
      <c r="V1346" s="66"/>
      <c r="W1346" s="633"/>
      <c r="X1346" s="633"/>
      <c r="Y1346" s="633"/>
      <c r="Z1346" s="634"/>
      <c r="AA1346" s="633"/>
    </row>
    <row r="1347" spans="1:27" ht="30" customHeight="1">
      <c r="A1347" s="132" t="s">
        <v>45</v>
      </c>
      <c r="B1347" s="37">
        <f>C1347*1.36</f>
        <v>21.76</v>
      </c>
      <c r="C1347" s="33">
        <v>16</v>
      </c>
      <c r="D1347" s="398"/>
      <c r="E1347" s="402"/>
      <c r="F1347" s="402"/>
      <c r="G1347" s="402"/>
      <c r="H1347" s="316"/>
      <c r="I1347" s="402"/>
      <c r="J1347" s="9"/>
      <c r="M1347" s="87"/>
      <c r="S1347" s="136"/>
      <c r="T1347" s="74"/>
      <c r="U1347" s="379"/>
      <c r="V1347" s="76"/>
      <c r="W1347" s="633"/>
      <c r="X1347" s="633"/>
      <c r="Y1347" s="633"/>
      <c r="Z1347" s="531"/>
      <c r="AA1347" s="356"/>
    </row>
    <row r="1348" spans="1:27" s="40" customFormat="1" ht="30" customHeight="1">
      <c r="A1348" s="132" t="s">
        <v>46</v>
      </c>
      <c r="B1348" s="37">
        <f>C1348*1.18</f>
        <v>18.88</v>
      </c>
      <c r="C1348" s="33">
        <f>C1347</f>
        <v>16</v>
      </c>
      <c r="D1348" s="398"/>
      <c r="E1348" s="399"/>
      <c r="F1348" s="399"/>
      <c r="G1348" s="399"/>
      <c r="H1348" s="316"/>
      <c r="I1348" s="399"/>
      <c r="J1348" s="9"/>
      <c r="M1348" s="87"/>
      <c r="N1348" s="80"/>
      <c r="O1348" s="80"/>
      <c r="P1348" s="80"/>
      <c r="Q1348" s="80"/>
      <c r="R1348" s="80"/>
      <c r="S1348" s="139"/>
      <c r="T1348" s="78"/>
      <c r="U1348" s="78"/>
      <c r="V1348" s="66"/>
      <c r="W1348" s="633"/>
      <c r="X1348" s="633"/>
      <c r="Y1348" s="633"/>
      <c r="Z1348" s="634"/>
      <c r="AA1348" s="633"/>
    </row>
    <row r="1349" spans="1:27" ht="30" customHeight="1">
      <c r="A1349" s="59" t="s">
        <v>213</v>
      </c>
      <c r="B1349" s="33">
        <v>17.2</v>
      </c>
      <c r="C1349" s="24">
        <v>16.666666666666668</v>
      </c>
      <c r="D1349" s="632"/>
      <c r="E1349" s="21"/>
      <c r="F1349" s="21"/>
      <c r="G1349" s="21"/>
      <c r="H1349" s="238"/>
      <c r="I1349" s="299"/>
      <c r="J1349" s="9"/>
      <c r="M1349" s="87"/>
      <c r="S1349" s="139"/>
      <c r="T1349" s="78"/>
      <c r="U1349" s="78"/>
      <c r="V1349" s="216"/>
      <c r="W1349" s="129"/>
      <c r="X1349" s="129"/>
      <c r="Y1349" s="129"/>
      <c r="Z1349" s="216"/>
      <c r="AA1349" s="528"/>
    </row>
    <row r="1350" spans="1:27" ht="30" customHeight="1">
      <c r="A1350" s="89" t="s">
        <v>47</v>
      </c>
      <c r="B1350" s="57">
        <f>C1350*1.33</f>
        <v>82.46000000000001</v>
      </c>
      <c r="C1350" s="24">
        <v>62</v>
      </c>
      <c r="D1350" s="58"/>
      <c r="E1350" s="38"/>
      <c r="F1350" s="38"/>
      <c r="G1350" s="38"/>
      <c r="H1350" s="57"/>
      <c r="I1350" s="309"/>
      <c r="J1350" s="9"/>
      <c r="M1350" s="87"/>
      <c r="S1350" s="215"/>
      <c r="T1350" s="78"/>
      <c r="U1350" s="527"/>
      <c r="V1350" s="530"/>
      <c r="W1350" s="526"/>
      <c r="X1350" s="526"/>
      <c r="Y1350" s="526"/>
      <c r="Z1350" s="527"/>
      <c r="AA1350" s="526"/>
    </row>
    <row r="1351" spans="1:27" ht="30" customHeight="1">
      <c r="A1351" s="89" t="s">
        <v>48</v>
      </c>
      <c r="B1351" s="57">
        <f>C1351*1.43</f>
        <v>88.66</v>
      </c>
      <c r="C1351" s="24">
        <v>62</v>
      </c>
      <c r="D1351" s="58"/>
      <c r="E1351" s="38"/>
      <c r="F1351" s="38"/>
      <c r="G1351" s="38"/>
      <c r="H1351" s="57"/>
      <c r="I1351" s="309"/>
      <c r="J1351" s="9"/>
      <c r="M1351" s="87"/>
      <c r="S1351" s="532"/>
      <c r="T1351" s="78"/>
      <c r="U1351" s="527"/>
      <c r="V1351" s="530"/>
      <c r="W1351" s="526"/>
      <c r="X1351" s="526"/>
      <c r="Y1351" s="526"/>
      <c r="Z1351" s="527"/>
      <c r="AA1351" s="526"/>
    </row>
    <row r="1352" spans="1:27" ht="30" customHeight="1">
      <c r="A1352" s="100" t="s">
        <v>49</v>
      </c>
      <c r="B1352" s="57">
        <f>C1352*1.54</f>
        <v>95.48</v>
      </c>
      <c r="C1352" s="24">
        <v>62</v>
      </c>
      <c r="D1352" s="58"/>
      <c r="E1352" s="38"/>
      <c r="F1352" s="38"/>
      <c r="G1352" s="38"/>
      <c r="H1352" s="57"/>
      <c r="I1352" s="309"/>
      <c r="J1352" s="9"/>
      <c r="K1352" s="80" t="s">
        <v>128</v>
      </c>
      <c r="M1352" s="87"/>
      <c r="S1352" s="532"/>
      <c r="T1352" s="129"/>
      <c r="U1352" s="527"/>
      <c r="V1352" s="530"/>
      <c r="W1352" s="526"/>
      <c r="X1352" s="526"/>
      <c r="Y1352" s="526"/>
      <c r="Z1352" s="527"/>
      <c r="AA1352" s="526"/>
    </row>
    <row r="1353" spans="1:27" ht="30" customHeight="1">
      <c r="A1353" s="100" t="s">
        <v>50</v>
      </c>
      <c r="B1353" s="57">
        <f>C1353*1.67</f>
        <v>103.53999999999999</v>
      </c>
      <c r="C1353" s="24">
        <v>62</v>
      </c>
      <c r="D1353" s="58"/>
      <c r="E1353" s="38"/>
      <c r="F1353" s="38"/>
      <c r="G1353" s="38"/>
      <c r="H1353" s="57"/>
      <c r="I1353" s="309"/>
      <c r="J1353" s="9"/>
      <c r="K1353" s="27" t="s">
        <v>34</v>
      </c>
      <c r="L1353" s="31">
        <f>+D1493</f>
        <v>60</v>
      </c>
      <c r="M1353" s="87"/>
      <c r="S1353" s="139"/>
      <c r="T1353" s="527"/>
      <c r="U1353" s="527"/>
      <c r="V1353" s="530"/>
      <c r="W1353" s="526"/>
      <c r="X1353" s="526"/>
      <c r="Y1353" s="526"/>
      <c r="Z1353" s="527"/>
      <c r="AA1353" s="526"/>
    </row>
    <row r="1354" spans="1:27" ht="30" customHeight="1">
      <c r="A1354" s="53" t="s">
        <v>112</v>
      </c>
      <c r="B1354" s="38">
        <f>C1354*1.25</f>
        <v>12.5</v>
      </c>
      <c r="C1354" s="58">
        <v>10</v>
      </c>
      <c r="D1354" s="58"/>
      <c r="E1354" s="38"/>
      <c r="F1354" s="38"/>
      <c r="G1354" s="38"/>
      <c r="H1354" s="57"/>
      <c r="I1354" s="309"/>
      <c r="J1354" s="9"/>
      <c r="K1354" s="28" t="s">
        <v>35</v>
      </c>
      <c r="L1354" s="82">
        <f>D1416++D1495+C1393</f>
        <v>96</v>
      </c>
      <c r="M1354" s="87"/>
      <c r="S1354" s="215"/>
      <c r="T1354" s="527"/>
      <c r="U1354" s="527"/>
      <c r="V1354" s="530"/>
      <c r="W1354" s="526"/>
      <c r="X1354" s="526"/>
      <c r="Y1354" s="526"/>
      <c r="Z1354" s="527"/>
      <c r="AA1354" s="525"/>
    </row>
    <row r="1355" spans="1:27" ht="30" customHeight="1">
      <c r="A1355" s="59" t="s">
        <v>43</v>
      </c>
      <c r="B1355" s="38">
        <f>C1355*1.33</f>
        <v>13.3</v>
      </c>
      <c r="C1355" s="58">
        <v>10</v>
      </c>
      <c r="D1355" s="58"/>
      <c r="E1355" s="38"/>
      <c r="F1355" s="38"/>
      <c r="G1355" s="38"/>
      <c r="H1355" s="57"/>
      <c r="I1355" s="309"/>
      <c r="J1355" s="9"/>
      <c r="K1355" s="28" t="s">
        <v>65</v>
      </c>
      <c r="L1355" s="82">
        <f>B1400++C1481+C1462</f>
        <v>13.600000000000001</v>
      </c>
      <c r="M1355" s="87"/>
      <c r="S1355" s="532"/>
      <c r="T1355" s="527"/>
      <c r="U1355" s="527"/>
      <c r="V1355" s="530"/>
      <c r="W1355" s="526"/>
      <c r="X1355" s="526"/>
      <c r="Y1355" s="526"/>
      <c r="Z1355" s="527"/>
      <c r="AA1355" s="526"/>
    </row>
    <row r="1356" spans="1:27" ht="30" customHeight="1">
      <c r="A1356" s="89" t="s">
        <v>51</v>
      </c>
      <c r="B1356" s="57">
        <f>C1356*1.19</f>
        <v>15.469999999999999</v>
      </c>
      <c r="C1356" s="58">
        <v>13</v>
      </c>
      <c r="D1356" s="58"/>
      <c r="E1356" s="38"/>
      <c r="F1356" s="38"/>
      <c r="G1356" s="38"/>
      <c r="H1356" s="57"/>
      <c r="I1356" s="309"/>
      <c r="J1356" s="9"/>
      <c r="K1356" s="29" t="s">
        <v>66</v>
      </c>
      <c r="L1356" s="82">
        <f>B1403</f>
        <v>45</v>
      </c>
      <c r="M1356" s="87"/>
      <c r="S1356" s="215"/>
      <c r="T1356" s="527"/>
      <c r="U1356" s="527"/>
      <c r="V1356" s="530"/>
      <c r="W1356" s="526"/>
      <c r="X1356" s="526"/>
      <c r="Y1356" s="526"/>
      <c r="Z1356" s="527"/>
      <c r="AA1356" s="526"/>
    </row>
    <row r="1357" spans="1:18" ht="30" customHeight="1">
      <c r="A1357" s="89" t="s">
        <v>70</v>
      </c>
      <c r="B1357" s="64">
        <v>5</v>
      </c>
      <c r="C1357" s="61">
        <v>5</v>
      </c>
      <c r="D1357" s="58"/>
      <c r="E1357" s="38"/>
      <c r="F1357" s="38"/>
      <c r="G1357" s="38"/>
      <c r="H1357" s="57"/>
      <c r="I1357" s="309"/>
      <c r="J1357" s="9"/>
      <c r="K1357" s="29" t="s">
        <v>59</v>
      </c>
      <c r="L1357" s="82">
        <f>C1447</f>
        <v>20</v>
      </c>
      <c r="M1357" s="87"/>
      <c r="O1357" s="83"/>
      <c r="P1357" s="83"/>
      <c r="Q1357" s="83"/>
      <c r="R1357" s="83"/>
    </row>
    <row r="1358" spans="1:27" ht="30" customHeight="1">
      <c r="A1358" s="59" t="s">
        <v>42</v>
      </c>
      <c r="B1358" s="24">
        <v>37</v>
      </c>
      <c r="C1358" s="24">
        <v>31</v>
      </c>
      <c r="D1358" s="58"/>
      <c r="E1358" s="38"/>
      <c r="F1358" s="106"/>
      <c r="G1358" s="57"/>
      <c r="H1358" s="57"/>
      <c r="I1358" s="309"/>
      <c r="J1358" s="9"/>
      <c r="K1358" s="28" t="s">
        <v>22</v>
      </c>
      <c r="L1358" s="82">
        <f>C1484</f>
        <v>85</v>
      </c>
      <c r="M1358" s="87"/>
      <c r="V1358" s="40"/>
      <c r="W1358" s="40"/>
      <c r="X1358" s="40"/>
      <c r="Y1358" s="40"/>
      <c r="Z1358" s="40"/>
      <c r="AA1358" s="40"/>
    </row>
    <row r="1359" spans="1:13" ht="30" customHeight="1">
      <c r="A1359" s="736" t="s">
        <v>426</v>
      </c>
      <c r="B1359" s="736"/>
      <c r="C1359" s="736"/>
      <c r="D1359" s="158" t="s">
        <v>385</v>
      </c>
      <c r="E1359" s="517">
        <v>17.5</v>
      </c>
      <c r="F1359" s="517">
        <v>12.5</v>
      </c>
      <c r="G1359" s="517">
        <v>7.2</v>
      </c>
      <c r="H1359" s="238">
        <f>G1359*4+F1359*9+E1359*4</f>
        <v>211.3</v>
      </c>
      <c r="I1359" s="294" t="s">
        <v>427</v>
      </c>
      <c r="J1359" s="9"/>
      <c r="K1359" s="28" t="s">
        <v>24</v>
      </c>
      <c r="L1359" s="82">
        <f>C1422+C1458++C1448+C1428+C1430++C1453+C1454+C1475+C1477+C1479+C1480+++C1463</f>
        <v>244.8</v>
      </c>
      <c r="M1359" s="87"/>
    </row>
    <row r="1360" spans="1:13" ht="30" customHeight="1">
      <c r="A1360" s="54" t="s">
        <v>119</v>
      </c>
      <c r="B1360" s="518">
        <f>C1360*1.35</f>
        <v>200.34000000000003</v>
      </c>
      <c r="C1360" s="230">
        <v>148.4</v>
      </c>
      <c r="D1360" s="220"/>
      <c r="E1360" s="144"/>
      <c r="F1360" s="144"/>
      <c r="G1360" s="144"/>
      <c r="H1360" s="142"/>
      <c r="I1360" s="144"/>
      <c r="J1360" s="9"/>
      <c r="K1360" s="28" t="s">
        <v>21</v>
      </c>
      <c r="L1360" s="82">
        <f>+C1414</f>
        <v>7</v>
      </c>
      <c r="M1360" s="87"/>
    </row>
    <row r="1361" spans="1:13" ht="30" customHeight="1">
      <c r="A1361" s="54" t="s">
        <v>377</v>
      </c>
      <c r="B1361" s="37">
        <f>C1361*1.53</f>
        <v>220.32</v>
      </c>
      <c r="C1361" s="26">
        <v>144</v>
      </c>
      <c r="D1361" s="632"/>
      <c r="E1361" s="21"/>
      <c r="F1361" s="21"/>
      <c r="G1361" s="21"/>
      <c r="H1361" s="238"/>
      <c r="I1361" s="21"/>
      <c r="J1361" s="9"/>
      <c r="K1361" s="28" t="s">
        <v>25</v>
      </c>
      <c r="L1361" s="80">
        <f>C1491</f>
        <v>25</v>
      </c>
      <c r="M1361" s="87"/>
    </row>
    <row r="1362" spans="1:13" ht="30" customHeight="1">
      <c r="A1362" s="73" t="s">
        <v>395</v>
      </c>
      <c r="B1362" s="464">
        <f>C1362*1.5</f>
        <v>216</v>
      </c>
      <c r="C1362" s="49">
        <f>C1361</f>
        <v>144</v>
      </c>
      <c r="D1362" s="38"/>
      <c r="E1362" s="2"/>
      <c r="F1362" s="2"/>
      <c r="G1362" s="2"/>
      <c r="H1362" s="465"/>
      <c r="I1362" s="297"/>
      <c r="J1362" s="9"/>
      <c r="K1362" s="28" t="s">
        <v>61</v>
      </c>
      <c r="M1362" s="87"/>
    </row>
    <row r="1363" spans="1:17" ht="30" customHeight="1">
      <c r="A1363" s="73" t="s">
        <v>458</v>
      </c>
      <c r="B1363" s="37">
        <f>C1363*1.72</f>
        <v>247.68</v>
      </c>
      <c r="C1363" s="26">
        <v>144</v>
      </c>
      <c r="D1363" s="632"/>
      <c r="E1363" s="21"/>
      <c r="F1363" s="21"/>
      <c r="G1363" s="21"/>
      <c r="H1363" s="238"/>
      <c r="I1363" s="21"/>
      <c r="J1363" s="9"/>
      <c r="K1363" s="28" t="s">
        <v>20</v>
      </c>
      <c r="L1363" s="82">
        <f>C1413+C1492++C1482</f>
        <v>31.5</v>
      </c>
      <c r="M1363" s="87"/>
      <c r="N1363" s="152"/>
      <c r="O1363" s="91"/>
      <c r="P1363" s="91"/>
      <c r="Q1363" s="91"/>
    </row>
    <row r="1364" spans="1:17" ht="30" customHeight="1">
      <c r="A1364" s="54" t="s">
        <v>429</v>
      </c>
      <c r="B1364" s="37">
        <f>C1364*1.32</f>
        <v>190.08</v>
      </c>
      <c r="C1364" s="26">
        <v>144</v>
      </c>
      <c r="D1364" s="23"/>
      <c r="E1364" s="32"/>
      <c r="F1364" s="32"/>
      <c r="G1364" s="32"/>
      <c r="H1364" s="45"/>
      <c r="I1364" s="466"/>
      <c r="J1364" s="9"/>
      <c r="K1364" s="28" t="s">
        <v>26</v>
      </c>
      <c r="L1364" s="82">
        <f>D1415</f>
        <v>50</v>
      </c>
      <c r="M1364" s="87"/>
      <c r="N1364" s="152"/>
      <c r="O1364" s="91"/>
      <c r="P1364" s="91"/>
      <c r="Q1364" s="91"/>
    </row>
    <row r="1365" spans="1:17" ht="30" customHeight="1">
      <c r="A1365" s="115" t="s">
        <v>112</v>
      </c>
      <c r="B1365" s="24">
        <f>C1365*1.25</f>
        <v>22.5</v>
      </c>
      <c r="C1365" s="230">
        <v>18</v>
      </c>
      <c r="D1365" s="220"/>
      <c r="E1365" s="144"/>
      <c r="F1365" s="144"/>
      <c r="G1365" s="144"/>
      <c r="H1365" s="142"/>
      <c r="I1365" s="144"/>
      <c r="J1365" s="9"/>
      <c r="K1365" s="27" t="s">
        <v>79</v>
      </c>
      <c r="M1365" s="87"/>
      <c r="N1365" s="151"/>
      <c r="O1365" s="91"/>
      <c r="P1365" s="91"/>
      <c r="Q1365" s="91"/>
    </row>
    <row r="1366" spans="1:17" ht="30" customHeight="1">
      <c r="A1366" s="143" t="s">
        <v>43</v>
      </c>
      <c r="B1366" s="26">
        <f>C1366*1.33</f>
        <v>23.94</v>
      </c>
      <c r="C1366" s="230">
        <v>18</v>
      </c>
      <c r="D1366" s="220"/>
      <c r="E1366" s="144"/>
      <c r="F1366" s="144"/>
      <c r="G1366" s="144"/>
      <c r="H1366" s="142"/>
      <c r="I1366" s="144"/>
      <c r="J1366" s="9"/>
      <c r="K1366" s="28" t="s">
        <v>27</v>
      </c>
      <c r="L1366" s="81">
        <f>C1412</f>
        <v>2</v>
      </c>
      <c r="M1366" s="87"/>
      <c r="N1366" s="152"/>
      <c r="O1366" s="91"/>
      <c r="P1366" s="91"/>
      <c r="Q1366" s="91"/>
    </row>
    <row r="1367" spans="1:17" ht="30" customHeight="1">
      <c r="A1367" s="143" t="s">
        <v>51</v>
      </c>
      <c r="B1367" s="43">
        <f>C1367*1.19</f>
        <v>14.28</v>
      </c>
      <c r="C1367" s="230">
        <v>12</v>
      </c>
      <c r="D1367" s="220"/>
      <c r="E1367" s="144"/>
      <c r="F1367" s="144"/>
      <c r="G1367" s="144"/>
      <c r="H1367" s="142"/>
      <c r="I1367" s="144"/>
      <c r="J1367" s="9"/>
      <c r="K1367" s="27" t="s">
        <v>199</v>
      </c>
      <c r="L1367" s="262"/>
      <c r="M1367" s="87"/>
      <c r="N1367" s="152"/>
      <c r="O1367" s="91"/>
      <c r="P1367" s="91"/>
      <c r="Q1367" s="91"/>
    </row>
    <row r="1368" spans="1:21" ht="30" customHeight="1">
      <c r="A1368" s="89" t="s">
        <v>83</v>
      </c>
      <c r="B1368" s="230">
        <v>7.875</v>
      </c>
      <c r="C1368" s="230">
        <v>7.875</v>
      </c>
      <c r="D1368" s="220"/>
      <c r="E1368" s="144"/>
      <c r="F1368" s="144"/>
      <c r="G1368" s="144"/>
      <c r="H1368" s="142"/>
      <c r="I1368" s="144"/>
      <c r="J1368" s="10"/>
      <c r="K1368" s="28" t="s">
        <v>67</v>
      </c>
      <c r="L1368" s="82">
        <f>C1390++C1391</f>
        <v>76</v>
      </c>
      <c r="M1368" s="87"/>
      <c r="N1368" s="151"/>
      <c r="O1368" s="91"/>
      <c r="P1368" s="91"/>
      <c r="Q1368" s="91"/>
      <c r="S1368" s="40"/>
      <c r="T1368" s="40"/>
      <c r="U1368" s="40"/>
    </row>
    <row r="1369" spans="1:18" ht="30" customHeight="1">
      <c r="A1369" s="20" t="s">
        <v>60</v>
      </c>
      <c r="B1369" s="230">
        <v>19</v>
      </c>
      <c r="C1369" s="230">
        <v>19</v>
      </c>
      <c r="D1369" s="220"/>
      <c r="E1369" s="144"/>
      <c r="F1369" s="144"/>
      <c r="G1369" s="144"/>
      <c r="H1369" s="142"/>
      <c r="I1369" s="517"/>
      <c r="J1369" s="10"/>
      <c r="K1369" s="27" t="s">
        <v>200</v>
      </c>
      <c r="L1369" s="263">
        <f>C1452</f>
        <v>116</v>
      </c>
      <c r="M1369" s="87"/>
      <c r="N1369" s="152"/>
      <c r="O1369" s="93"/>
      <c r="P1369" s="93"/>
      <c r="Q1369" s="93"/>
      <c r="R1369" s="83"/>
    </row>
    <row r="1370" spans="1:17" ht="30" customHeight="1">
      <c r="A1370" s="143" t="s">
        <v>44</v>
      </c>
      <c r="B1370" s="230">
        <v>5</v>
      </c>
      <c r="C1370" s="230">
        <v>5</v>
      </c>
      <c r="D1370" s="220"/>
      <c r="E1370" s="144"/>
      <c r="F1370" s="144"/>
      <c r="G1370" s="144"/>
      <c r="H1370" s="142"/>
      <c r="I1370" s="144"/>
      <c r="J1370" s="10"/>
      <c r="K1370" s="27" t="s">
        <v>62</v>
      </c>
      <c r="L1370" s="82">
        <f>C1427</f>
        <v>28</v>
      </c>
      <c r="M1370" s="87"/>
      <c r="N1370" s="151"/>
      <c r="O1370" s="91"/>
      <c r="P1370" s="91"/>
      <c r="Q1370" s="91"/>
    </row>
    <row r="1371" spans="1:17" ht="30" customHeight="1">
      <c r="A1371" s="20" t="s">
        <v>39</v>
      </c>
      <c r="B1371" s="230">
        <v>1</v>
      </c>
      <c r="C1371" s="230">
        <v>1</v>
      </c>
      <c r="D1371" s="220"/>
      <c r="E1371" s="144"/>
      <c r="F1371" s="144"/>
      <c r="G1371" s="144"/>
      <c r="H1371" s="142"/>
      <c r="I1371" s="144"/>
      <c r="J1371" s="10"/>
      <c r="K1371" s="28" t="s">
        <v>28</v>
      </c>
      <c r="L1371" s="82"/>
      <c r="M1371" s="87"/>
      <c r="N1371" s="151"/>
      <c r="O1371" s="91"/>
      <c r="P1371" s="91"/>
      <c r="Q1371" s="91"/>
    </row>
    <row r="1372" spans="1:17" ht="30" customHeight="1">
      <c r="A1372" s="675" t="s">
        <v>226</v>
      </c>
      <c r="B1372" s="675"/>
      <c r="C1372" s="675"/>
      <c r="D1372" s="1">
        <v>180</v>
      </c>
      <c r="E1372" s="2">
        <v>4.44</v>
      </c>
      <c r="F1372" s="2">
        <v>3.7</v>
      </c>
      <c r="G1372" s="2">
        <v>31.1</v>
      </c>
      <c r="H1372" s="3">
        <f>G1372*4+F1372*9+E1372*4</f>
        <v>175.46</v>
      </c>
      <c r="I1372" s="294" t="s">
        <v>227</v>
      </c>
      <c r="J1372" s="10"/>
      <c r="K1372" s="30" t="s">
        <v>29</v>
      </c>
      <c r="L1372" s="82">
        <f>C1394+C1488</f>
        <v>38</v>
      </c>
      <c r="M1372" s="87"/>
      <c r="N1372" s="152"/>
      <c r="O1372" s="91"/>
      <c r="P1372" s="91"/>
      <c r="Q1372" s="91"/>
    </row>
    <row r="1373" spans="1:17" ht="30" customHeight="1">
      <c r="A1373" s="20" t="s">
        <v>57</v>
      </c>
      <c r="B1373" s="33">
        <v>63</v>
      </c>
      <c r="C1373" s="33">
        <v>63</v>
      </c>
      <c r="D1373" s="22"/>
      <c r="E1373" s="43"/>
      <c r="F1373" s="43"/>
      <c r="G1373" s="43"/>
      <c r="H1373" s="26"/>
      <c r="I1373" s="294"/>
      <c r="J1373" s="10"/>
      <c r="K1373" s="72" t="s">
        <v>85</v>
      </c>
      <c r="L1373" s="82"/>
      <c r="M1373" s="87"/>
      <c r="N1373" s="152"/>
      <c r="O1373" s="91"/>
      <c r="P1373" s="91"/>
      <c r="Q1373" s="91"/>
    </row>
    <row r="1374" spans="1:17" ht="30" customHeight="1">
      <c r="A1374" s="20" t="s">
        <v>60</v>
      </c>
      <c r="B1374" s="49">
        <v>152</v>
      </c>
      <c r="C1374" s="26">
        <v>152</v>
      </c>
      <c r="D1374" s="26"/>
      <c r="E1374" s="43"/>
      <c r="F1374" s="43"/>
      <c r="G1374" s="43"/>
      <c r="H1374" s="26"/>
      <c r="I1374" s="294"/>
      <c r="J1374" s="10"/>
      <c r="K1374" s="27" t="s">
        <v>30</v>
      </c>
      <c r="L1374" s="82"/>
      <c r="M1374" s="87"/>
      <c r="N1374" s="151"/>
      <c r="O1374" s="91"/>
      <c r="P1374" s="91"/>
      <c r="Q1374" s="91"/>
    </row>
    <row r="1375" spans="1:17" ht="30" customHeight="1">
      <c r="A1375" s="89" t="s">
        <v>40</v>
      </c>
      <c r="B1375" s="45">
        <v>5</v>
      </c>
      <c r="C1375" s="45">
        <v>5</v>
      </c>
      <c r="D1375" s="22"/>
      <c r="E1375" s="43"/>
      <c r="F1375" s="43"/>
      <c r="G1375" s="43"/>
      <c r="H1375" s="26"/>
      <c r="I1375" s="304"/>
      <c r="J1375" s="9"/>
      <c r="K1375" s="27" t="s">
        <v>31</v>
      </c>
      <c r="L1375" s="82"/>
      <c r="M1375" s="87"/>
      <c r="N1375" s="152"/>
      <c r="O1375" s="91"/>
      <c r="P1375" s="91"/>
      <c r="Q1375" s="91"/>
    </row>
    <row r="1376" spans="1:17" ht="30" customHeight="1">
      <c r="A1376" s="674" t="s">
        <v>532</v>
      </c>
      <c r="B1376" s="674"/>
      <c r="C1376" s="674"/>
      <c r="D1376" s="632">
        <v>200</v>
      </c>
      <c r="E1376" s="21">
        <v>0.2</v>
      </c>
      <c r="F1376" s="21">
        <v>0.1</v>
      </c>
      <c r="G1376" s="21">
        <v>19.1</v>
      </c>
      <c r="H1376" s="537">
        <f>G1376*4+F1376*9+E1376*4</f>
        <v>78.10000000000001</v>
      </c>
      <c r="I1376" s="300" t="s">
        <v>378</v>
      </c>
      <c r="J1376" s="10"/>
      <c r="K1376" s="28" t="s">
        <v>68</v>
      </c>
      <c r="L1376" s="82"/>
      <c r="M1376" s="87"/>
      <c r="N1376" s="151"/>
      <c r="O1376" s="91"/>
      <c r="P1376" s="91"/>
      <c r="Q1376" s="91"/>
    </row>
    <row r="1377" spans="1:17" ht="30" customHeight="1">
      <c r="A1377" s="89" t="s">
        <v>81</v>
      </c>
      <c r="B1377" s="437">
        <f>C1377*1.14</f>
        <v>26.22</v>
      </c>
      <c r="C1377" s="61">
        <v>23</v>
      </c>
      <c r="D1377" s="1"/>
      <c r="E1377" s="2"/>
      <c r="F1377" s="2"/>
      <c r="G1377" s="2"/>
      <c r="H1377" s="3"/>
      <c r="I1377" s="304"/>
      <c r="J1377" s="10"/>
      <c r="K1377" s="27" t="s">
        <v>32</v>
      </c>
      <c r="L1377" s="82">
        <f>+C1450++B1405+C1489+C1461</f>
        <v>16.3</v>
      </c>
      <c r="M1377" s="87"/>
      <c r="N1377" s="151"/>
      <c r="O1377" s="91"/>
      <c r="P1377" s="91"/>
      <c r="Q1377" s="91"/>
    </row>
    <row r="1378" spans="1:17" ht="30" customHeight="1">
      <c r="A1378" s="59" t="s">
        <v>473</v>
      </c>
      <c r="B1378" s="669">
        <f>C1378*1.05</f>
        <v>18.900000000000002</v>
      </c>
      <c r="C1378" s="219">
        <v>18</v>
      </c>
      <c r="D1378" s="1"/>
      <c r="E1378" s="2"/>
      <c r="F1378" s="2"/>
      <c r="G1378" s="2"/>
      <c r="H1378" s="3"/>
      <c r="I1378" s="304"/>
      <c r="J1378" s="10"/>
      <c r="K1378" s="27" t="s">
        <v>23</v>
      </c>
      <c r="L1378" s="82">
        <f>B1401++C1476+B1456</f>
        <v>12</v>
      </c>
      <c r="M1378" s="87"/>
      <c r="N1378" s="151"/>
      <c r="O1378" s="91"/>
      <c r="P1378" s="91"/>
      <c r="Q1378" s="91"/>
    </row>
    <row r="1379" spans="1:17" ht="30" customHeight="1">
      <c r="A1379" s="89" t="s">
        <v>39</v>
      </c>
      <c r="B1379" s="58">
        <v>15</v>
      </c>
      <c r="C1379" s="58">
        <v>15</v>
      </c>
      <c r="D1379" s="47"/>
      <c r="E1379" s="50"/>
      <c r="F1379" s="50"/>
      <c r="G1379" s="50"/>
      <c r="H1379" s="46"/>
      <c r="I1379" s="308"/>
      <c r="J1379" s="10"/>
      <c r="K1379" s="28" t="s">
        <v>33</v>
      </c>
      <c r="L1379" s="82">
        <f>+C1398+B1395</f>
        <v>30</v>
      </c>
      <c r="M1379" s="87"/>
      <c r="N1379" s="151"/>
      <c r="O1379" s="91"/>
      <c r="P1379" s="91"/>
      <c r="Q1379" s="91"/>
    </row>
    <row r="1380" spans="1:17" ht="30" customHeight="1">
      <c r="A1380" s="674" t="s">
        <v>34</v>
      </c>
      <c r="B1380" s="674"/>
      <c r="C1380" s="674"/>
      <c r="D1380" s="1">
        <v>40</v>
      </c>
      <c r="E1380" s="2">
        <v>1.88</v>
      </c>
      <c r="F1380" s="2">
        <v>0.4</v>
      </c>
      <c r="G1380" s="2">
        <v>17.48</v>
      </c>
      <c r="H1380" s="3">
        <v>81.04</v>
      </c>
      <c r="I1380" s="294"/>
      <c r="J1380" s="10"/>
      <c r="K1380" s="28" t="s">
        <v>78</v>
      </c>
      <c r="M1380" s="87"/>
      <c r="N1380" s="151"/>
      <c r="O1380" s="91"/>
      <c r="P1380" s="91"/>
      <c r="Q1380" s="91"/>
    </row>
    <row r="1381" spans="1:17" ht="30" customHeight="1">
      <c r="A1381" s="675" t="s">
        <v>145</v>
      </c>
      <c r="B1381" s="675"/>
      <c r="C1381" s="675"/>
      <c r="D1381" s="1">
        <v>40</v>
      </c>
      <c r="E1381" s="2"/>
      <c r="F1381" s="2"/>
      <c r="G1381" s="2"/>
      <c r="H1381" s="3"/>
      <c r="I1381" s="294"/>
      <c r="J1381" s="10"/>
      <c r="K1381" s="264" t="s">
        <v>193</v>
      </c>
      <c r="M1381" s="87"/>
      <c r="N1381" s="152"/>
      <c r="O1381" s="91"/>
      <c r="P1381" s="91"/>
      <c r="Q1381" s="91"/>
    </row>
    <row r="1382" spans="1:17" ht="30" customHeight="1">
      <c r="A1382" s="674" t="s">
        <v>74</v>
      </c>
      <c r="B1382" s="674"/>
      <c r="C1382" s="674"/>
      <c r="D1382" s="3">
        <v>60</v>
      </c>
      <c r="E1382" s="2">
        <v>3</v>
      </c>
      <c r="F1382" s="2">
        <v>0.8400000000000001</v>
      </c>
      <c r="G1382" s="2">
        <v>24.3</v>
      </c>
      <c r="H1382" s="3">
        <v>116.76000000000002</v>
      </c>
      <c r="I1382" s="294"/>
      <c r="J1382" s="10"/>
      <c r="M1382" s="87"/>
      <c r="N1382" s="154"/>
      <c r="O1382" s="91"/>
      <c r="P1382" s="91"/>
      <c r="Q1382" s="91"/>
    </row>
    <row r="1383" spans="1:17" ht="30" customHeight="1">
      <c r="A1383" s="675" t="s">
        <v>72</v>
      </c>
      <c r="B1383" s="675"/>
      <c r="C1383" s="675"/>
      <c r="D1383" s="1">
        <v>60</v>
      </c>
      <c r="E1383" s="2"/>
      <c r="F1383" s="2"/>
      <c r="G1383" s="2"/>
      <c r="H1383" s="3"/>
      <c r="I1383" s="294"/>
      <c r="J1383" s="10"/>
      <c r="M1383" s="87"/>
      <c r="N1383" s="331"/>
      <c r="O1383" s="91"/>
      <c r="P1383" s="91"/>
      <c r="Q1383" s="91"/>
    </row>
    <row r="1384" spans="1:17" ht="30" customHeight="1">
      <c r="A1384" s="698" t="s">
        <v>202</v>
      </c>
      <c r="B1384" s="698"/>
      <c r="C1384" s="698"/>
      <c r="D1384" s="266"/>
      <c r="E1384" s="235">
        <f>E1339+E1306</f>
        <v>63.019999999999996</v>
      </c>
      <c r="F1384" s="235">
        <f>F1339+F1306</f>
        <v>53.34</v>
      </c>
      <c r="G1384" s="235">
        <f>G1339+G1306</f>
        <v>204.68</v>
      </c>
      <c r="H1384" s="267">
        <f>H1339+H1306</f>
        <v>1550.8600000000001</v>
      </c>
      <c r="I1384" s="302"/>
      <c r="J1384" s="10"/>
      <c r="M1384" s="87"/>
      <c r="N1384" s="152"/>
      <c r="O1384" s="91"/>
      <c r="P1384" s="91"/>
      <c r="Q1384" s="91"/>
    </row>
    <row r="1385" spans="1:17" ht="30" customHeight="1">
      <c r="A1385" s="706" t="s">
        <v>128</v>
      </c>
      <c r="B1385" s="706"/>
      <c r="C1385" s="706"/>
      <c r="D1385" s="706"/>
      <c r="E1385" s="706"/>
      <c r="F1385" s="706"/>
      <c r="G1385" s="706"/>
      <c r="H1385" s="707"/>
      <c r="I1385" s="706"/>
      <c r="J1385" s="10"/>
      <c r="M1385" s="87"/>
      <c r="N1385" s="152"/>
      <c r="O1385" s="91"/>
      <c r="P1385" s="91"/>
      <c r="Q1385" s="91"/>
    </row>
    <row r="1386" spans="1:17" ht="30" customHeight="1">
      <c r="A1386" s="693" t="s">
        <v>1</v>
      </c>
      <c r="B1386" s="676" t="s">
        <v>2</v>
      </c>
      <c r="C1386" s="676" t="s">
        <v>3</v>
      </c>
      <c r="D1386" s="676" t="s">
        <v>4</v>
      </c>
      <c r="E1386" s="676"/>
      <c r="F1386" s="676"/>
      <c r="G1386" s="676"/>
      <c r="H1386" s="676"/>
      <c r="I1386" s="682" t="s">
        <v>201</v>
      </c>
      <c r="J1386" s="10"/>
      <c r="M1386" s="87"/>
      <c r="N1386" s="152"/>
      <c r="O1386" s="91"/>
      <c r="P1386" s="91"/>
      <c r="Q1386" s="91"/>
    </row>
    <row r="1387" spans="1:17" ht="30" customHeight="1">
      <c r="A1387" s="693"/>
      <c r="B1387" s="676"/>
      <c r="C1387" s="676"/>
      <c r="D1387" s="6" t="s">
        <v>5</v>
      </c>
      <c r="E1387" s="62" t="s">
        <v>6</v>
      </c>
      <c r="F1387" s="62" t="s">
        <v>7</v>
      </c>
      <c r="G1387" s="62" t="s">
        <v>8</v>
      </c>
      <c r="H1387" s="69" t="s">
        <v>9</v>
      </c>
      <c r="I1387" s="682"/>
      <c r="J1387" s="10"/>
      <c r="M1387" s="87"/>
      <c r="N1387" s="154"/>
      <c r="O1387" s="91"/>
      <c r="P1387" s="91"/>
      <c r="Q1387" s="91"/>
    </row>
    <row r="1388" spans="1:17" ht="30" customHeight="1">
      <c r="A1388" s="690" t="s">
        <v>10</v>
      </c>
      <c r="B1388" s="690"/>
      <c r="C1388" s="690"/>
      <c r="D1388" s="265">
        <f>D1389+D1402+207+D1415</f>
        <v>557</v>
      </c>
      <c r="E1388" s="71">
        <f>E1389++E1402+E1411+E1415+E1416+E1418</f>
        <v>24.5</v>
      </c>
      <c r="F1388" s="71">
        <f>F1389++F1402+F1411+F1415+F1416+F1418</f>
        <v>25.080000000000002</v>
      </c>
      <c r="G1388" s="71">
        <f>G1389++G1402+G1411+G1415+G1416+G1418</f>
        <v>82.95333333333333</v>
      </c>
      <c r="H1388" s="265">
        <f>H1389++H1402+H1411+H1415+H1416+H1418</f>
        <v>654.7533333333332</v>
      </c>
      <c r="I1388" s="293"/>
      <c r="J1388" s="10"/>
      <c r="M1388" s="87"/>
      <c r="N1388" s="151"/>
      <c r="O1388" s="91"/>
      <c r="P1388" s="91"/>
      <c r="Q1388" s="91"/>
    </row>
    <row r="1389" spans="1:17" ht="30" customHeight="1">
      <c r="A1389" s="721" t="s">
        <v>611</v>
      </c>
      <c r="B1389" s="722"/>
      <c r="C1389" s="723"/>
      <c r="D1389" s="322">
        <v>120</v>
      </c>
      <c r="E1389" s="21">
        <v>15.4</v>
      </c>
      <c r="F1389" s="21">
        <v>16</v>
      </c>
      <c r="G1389" s="21">
        <v>6.533333333333333</v>
      </c>
      <c r="H1389" s="238">
        <f>G1389*4+F1389*9+E1389*4</f>
        <v>231.73333333333332</v>
      </c>
      <c r="I1389" s="300" t="s">
        <v>612</v>
      </c>
      <c r="J1389" s="10"/>
      <c r="M1389" s="87"/>
      <c r="N1389" s="151"/>
      <c r="O1389" s="91"/>
      <c r="P1389" s="91"/>
      <c r="Q1389" s="91"/>
    </row>
    <row r="1390" spans="1:17" ht="30" customHeight="1">
      <c r="A1390" s="662" t="s">
        <v>45</v>
      </c>
      <c r="B1390" s="37">
        <f>C1390*1.36</f>
        <v>51.68000000000001</v>
      </c>
      <c r="C1390" s="33">
        <v>38</v>
      </c>
      <c r="D1390" s="663"/>
      <c r="E1390" s="402"/>
      <c r="F1390" s="402"/>
      <c r="G1390" s="402"/>
      <c r="H1390" s="316"/>
      <c r="I1390" s="402"/>
      <c r="J1390" s="10"/>
      <c r="M1390" s="87"/>
      <c r="N1390" s="332"/>
      <c r="O1390" s="91"/>
      <c r="P1390" s="91"/>
      <c r="Q1390" s="91"/>
    </row>
    <row r="1391" spans="1:17" ht="30" customHeight="1">
      <c r="A1391" s="132" t="s">
        <v>46</v>
      </c>
      <c r="B1391" s="37">
        <f>C1391*1.18</f>
        <v>44.839999999999996</v>
      </c>
      <c r="C1391" s="33">
        <v>38</v>
      </c>
      <c r="D1391" s="663"/>
      <c r="E1391" s="402"/>
      <c r="F1391" s="402"/>
      <c r="G1391" s="402"/>
      <c r="H1391" s="316"/>
      <c r="I1391" s="402"/>
      <c r="J1391" s="10"/>
      <c r="M1391" s="87"/>
      <c r="N1391" s="332"/>
      <c r="O1391" s="91"/>
      <c r="P1391" s="91"/>
      <c r="Q1391" s="91"/>
    </row>
    <row r="1392" spans="1:17" ht="30" customHeight="1">
      <c r="A1392" s="132" t="s">
        <v>328</v>
      </c>
      <c r="B1392" s="37">
        <f>C1392*1.17</f>
        <v>42.12</v>
      </c>
      <c r="C1392" s="33">
        <v>36</v>
      </c>
      <c r="D1392" s="663"/>
      <c r="E1392" s="402"/>
      <c r="F1392" s="402"/>
      <c r="G1392" s="402"/>
      <c r="H1392" s="316"/>
      <c r="I1392" s="402"/>
      <c r="J1392" s="10"/>
      <c r="M1392" s="87"/>
      <c r="N1392" s="332"/>
      <c r="O1392" s="91"/>
      <c r="P1392" s="91"/>
      <c r="Q1392" s="91"/>
    </row>
    <row r="1393" spans="1:17" ht="30" customHeight="1">
      <c r="A1393" s="53" t="s">
        <v>42</v>
      </c>
      <c r="B1393" s="45">
        <v>16</v>
      </c>
      <c r="C1393" s="652">
        <v>16</v>
      </c>
      <c r="D1393" s="663"/>
      <c r="E1393" s="402"/>
      <c r="F1393" s="402"/>
      <c r="G1393" s="402"/>
      <c r="H1393" s="316"/>
      <c r="I1393" s="402"/>
      <c r="J1393" s="10"/>
      <c r="M1393" s="87"/>
      <c r="N1393" s="332"/>
      <c r="O1393" s="91"/>
      <c r="P1393" s="91"/>
      <c r="Q1393" s="91"/>
    </row>
    <row r="1394" spans="1:13" ht="30" customHeight="1">
      <c r="A1394" s="20" t="s">
        <v>63</v>
      </c>
      <c r="B1394" s="45">
        <v>22</v>
      </c>
      <c r="C1394" s="652">
        <v>22</v>
      </c>
      <c r="D1394" s="663"/>
      <c r="E1394" s="402"/>
      <c r="F1394" s="402"/>
      <c r="G1394" s="402"/>
      <c r="H1394" s="316"/>
      <c r="I1394" s="402"/>
      <c r="J1394" s="10"/>
      <c r="M1394" s="87"/>
    </row>
    <row r="1395" spans="1:13" ht="30" customHeight="1">
      <c r="A1395" s="20" t="s">
        <v>489</v>
      </c>
      <c r="B1395" s="45">
        <v>10</v>
      </c>
      <c r="C1395" s="652">
        <v>10</v>
      </c>
      <c r="D1395" s="663"/>
      <c r="E1395" s="402"/>
      <c r="F1395" s="402"/>
      <c r="G1395" s="402"/>
      <c r="H1395" s="316"/>
      <c r="I1395" s="402"/>
      <c r="J1395" s="10"/>
      <c r="M1395" s="87"/>
    </row>
    <row r="1396" spans="1:13" ht="30" customHeight="1">
      <c r="A1396" s="442" t="s">
        <v>437</v>
      </c>
      <c r="B1396" s="238"/>
      <c r="C1396" s="649">
        <v>120</v>
      </c>
      <c r="D1396" s="663"/>
      <c r="E1396" s="402"/>
      <c r="F1396" s="402"/>
      <c r="G1396" s="402"/>
      <c r="H1396" s="316"/>
      <c r="I1396" s="402"/>
      <c r="J1396" s="10"/>
      <c r="M1396" s="87"/>
    </row>
    <row r="1397" spans="1:13" ht="30" customHeight="1">
      <c r="A1397" s="664" t="s">
        <v>353</v>
      </c>
      <c r="B1397" s="45"/>
      <c r="C1397" s="649"/>
      <c r="D1397" s="663"/>
      <c r="E1397" s="402"/>
      <c r="F1397" s="402"/>
      <c r="G1397" s="402"/>
      <c r="H1397" s="316"/>
      <c r="I1397" s="402"/>
      <c r="J1397" s="10"/>
      <c r="M1397" s="87"/>
    </row>
    <row r="1398" spans="1:13" ht="30" customHeight="1">
      <c r="A1398" s="53" t="s">
        <v>489</v>
      </c>
      <c r="B1398" s="45">
        <v>20</v>
      </c>
      <c r="C1398" s="652">
        <v>20</v>
      </c>
      <c r="D1398" s="663"/>
      <c r="E1398" s="402"/>
      <c r="F1398" s="402"/>
      <c r="G1398" s="402"/>
      <c r="H1398" s="316"/>
      <c r="I1398" s="402"/>
      <c r="J1398" s="10"/>
      <c r="M1398" s="87"/>
    </row>
    <row r="1399" spans="1:13" ht="30" customHeight="1">
      <c r="A1399" s="53" t="s">
        <v>613</v>
      </c>
      <c r="B1399" s="45"/>
      <c r="C1399" s="652">
        <v>140</v>
      </c>
      <c r="D1399" s="663"/>
      <c r="E1399" s="402"/>
      <c r="F1399" s="402"/>
      <c r="G1399" s="402"/>
      <c r="H1399" s="316"/>
      <c r="I1399" s="402"/>
      <c r="J1399" s="10"/>
      <c r="M1399" s="87"/>
    </row>
    <row r="1400" spans="1:13" ht="30" customHeight="1">
      <c r="A1400" s="53" t="s">
        <v>54</v>
      </c>
      <c r="B1400" s="45">
        <v>10</v>
      </c>
      <c r="C1400" s="652">
        <v>10</v>
      </c>
      <c r="D1400" s="282"/>
      <c r="E1400" s="43"/>
      <c r="F1400" s="43"/>
      <c r="G1400" s="43"/>
      <c r="H1400" s="26"/>
      <c r="I1400" s="43"/>
      <c r="J1400" s="10"/>
      <c r="M1400" s="87"/>
    </row>
    <row r="1401" spans="1:13" ht="30" customHeight="1">
      <c r="A1401" s="115" t="s">
        <v>117</v>
      </c>
      <c r="B1401" s="45">
        <v>2</v>
      </c>
      <c r="C1401" s="45">
        <v>2</v>
      </c>
      <c r="D1401" s="646"/>
      <c r="E1401" s="402"/>
      <c r="F1401" s="402"/>
      <c r="G1401" s="402"/>
      <c r="H1401" s="316"/>
      <c r="I1401" s="402"/>
      <c r="J1401" s="10"/>
      <c r="M1401" s="87"/>
    </row>
    <row r="1402" spans="1:13" ht="30" customHeight="1">
      <c r="A1402" s="674" t="s">
        <v>379</v>
      </c>
      <c r="B1402" s="674"/>
      <c r="C1402" s="674"/>
      <c r="D1402" s="1">
        <v>180</v>
      </c>
      <c r="E1402" s="2">
        <v>5.6</v>
      </c>
      <c r="F1402" s="2">
        <v>5.8</v>
      </c>
      <c r="G1402" s="2">
        <v>24.72</v>
      </c>
      <c r="H1402" s="3">
        <f>G1402*4+F1402*9+E1402*4</f>
        <v>173.48</v>
      </c>
      <c r="I1402" s="297" t="s">
        <v>241</v>
      </c>
      <c r="J1402" s="9"/>
      <c r="M1402" s="87"/>
    </row>
    <row r="1403" spans="1:27" ht="30" customHeight="1">
      <c r="A1403" s="53" t="s">
        <v>53</v>
      </c>
      <c r="B1403" s="23">
        <v>45</v>
      </c>
      <c r="C1403" s="23">
        <v>45</v>
      </c>
      <c r="D1403" s="22"/>
      <c r="E1403" s="160"/>
      <c r="F1403" s="160"/>
      <c r="G1403" s="160"/>
      <c r="H1403" s="3"/>
      <c r="I1403" s="297"/>
      <c r="J1403" s="93"/>
      <c r="M1403" s="87"/>
      <c r="V1403" s="83"/>
      <c r="W1403" s="83"/>
      <c r="X1403" s="83"/>
      <c r="Y1403" s="83"/>
      <c r="Z1403" s="83"/>
      <c r="AA1403" s="83"/>
    </row>
    <row r="1404" spans="1:13" ht="30" customHeight="1">
      <c r="A1404" s="53" t="s">
        <v>60</v>
      </c>
      <c r="B1404" s="23">
        <v>144</v>
      </c>
      <c r="C1404" s="23">
        <v>144</v>
      </c>
      <c r="D1404" s="22"/>
      <c r="E1404" s="35"/>
      <c r="F1404" s="35"/>
      <c r="G1404" s="35"/>
      <c r="H1404" s="26"/>
      <c r="I1404" s="297"/>
      <c r="J1404" s="93"/>
      <c r="M1404" s="87"/>
    </row>
    <row r="1405" spans="1:13" ht="30" customHeight="1">
      <c r="A1405" s="89" t="s">
        <v>40</v>
      </c>
      <c r="B1405" s="23">
        <v>6</v>
      </c>
      <c r="C1405" s="23">
        <v>6</v>
      </c>
      <c r="D1405" s="43"/>
      <c r="E1405" s="43"/>
      <c r="F1405" s="43"/>
      <c r="G1405" s="43"/>
      <c r="H1405" s="26"/>
      <c r="I1405" s="304"/>
      <c r="J1405" s="93"/>
      <c r="M1405" s="87"/>
    </row>
    <row r="1406" spans="1:21" ht="30" customHeight="1">
      <c r="A1406" s="692" t="s">
        <v>95</v>
      </c>
      <c r="B1406" s="692"/>
      <c r="C1406" s="692"/>
      <c r="D1406" s="692"/>
      <c r="E1406" s="692"/>
      <c r="F1406" s="692"/>
      <c r="G1406" s="692"/>
      <c r="H1406" s="692"/>
      <c r="I1406" s="692"/>
      <c r="J1406" s="93"/>
      <c r="M1406" s="87"/>
      <c r="S1406" s="40"/>
      <c r="T1406" s="40"/>
      <c r="U1406" s="40"/>
    </row>
    <row r="1407" spans="1:13" ht="30" customHeight="1">
      <c r="A1407" s="675" t="s">
        <v>226</v>
      </c>
      <c r="B1407" s="675"/>
      <c r="C1407" s="675"/>
      <c r="D1407" s="1">
        <v>180</v>
      </c>
      <c r="E1407" s="2">
        <v>4.44</v>
      </c>
      <c r="F1407" s="2">
        <v>3.7</v>
      </c>
      <c r="G1407" s="2">
        <v>31.1</v>
      </c>
      <c r="H1407" s="3">
        <f>G1407*4+F1407*9+E1407*4</f>
        <v>175.46</v>
      </c>
      <c r="I1407" s="294" t="s">
        <v>227</v>
      </c>
      <c r="J1407" s="93"/>
      <c r="M1407" s="87"/>
    </row>
    <row r="1408" spans="1:13" ht="30" customHeight="1">
      <c r="A1408" s="20" t="s">
        <v>57</v>
      </c>
      <c r="B1408" s="33">
        <v>63</v>
      </c>
      <c r="C1408" s="33">
        <v>63</v>
      </c>
      <c r="D1408" s="22"/>
      <c r="E1408" s="43"/>
      <c r="F1408" s="43"/>
      <c r="G1408" s="43"/>
      <c r="H1408" s="26"/>
      <c r="I1408" s="294"/>
      <c r="J1408" s="93"/>
      <c r="M1408" s="87"/>
    </row>
    <row r="1409" spans="1:13" ht="30" customHeight="1">
      <c r="A1409" s="20" t="s">
        <v>60</v>
      </c>
      <c r="B1409" s="49">
        <v>152</v>
      </c>
      <c r="C1409" s="26">
        <v>152</v>
      </c>
      <c r="D1409" s="26"/>
      <c r="E1409" s="43"/>
      <c r="F1409" s="43"/>
      <c r="G1409" s="43"/>
      <c r="H1409" s="26"/>
      <c r="I1409" s="294"/>
      <c r="J1409" s="93"/>
      <c r="M1409" s="87"/>
    </row>
    <row r="1410" spans="1:13" ht="30" customHeight="1">
      <c r="A1410" s="89" t="s">
        <v>40</v>
      </c>
      <c r="B1410" s="45">
        <v>5</v>
      </c>
      <c r="C1410" s="45">
        <v>5</v>
      </c>
      <c r="D1410" s="22"/>
      <c r="E1410" s="43"/>
      <c r="F1410" s="43"/>
      <c r="G1410" s="43"/>
      <c r="H1410" s="26"/>
      <c r="I1410" s="304"/>
      <c r="J1410" s="93"/>
      <c r="M1410" s="87"/>
    </row>
    <row r="1411" spans="1:17" ht="30" customHeight="1">
      <c r="A1411" s="410" t="s">
        <v>371</v>
      </c>
      <c r="B1411" s="410"/>
      <c r="C1411" s="410"/>
      <c r="D1411" s="244" t="s">
        <v>348</v>
      </c>
      <c r="E1411" s="277">
        <v>0.3</v>
      </c>
      <c r="F1411" s="277">
        <v>0</v>
      </c>
      <c r="G1411" s="277">
        <v>15.2</v>
      </c>
      <c r="H1411" s="3">
        <f>G1411*4+F1411*9+E1411*4</f>
        <v>62</v>
      </c>
      <c r="I1411" s="294" t="s">
        <v>372</v>
      </c>
      <c r="J1411" s="93"/>
      <c r="M1411" s="87"/>
      <c r="N1411" s="152"/>
      <c r="O1411" s="91"/>
      <c r="P1411" s="91"/>
      <c r="Q1411" s="91"/>
    </row>
    <row r="1412" spans="1:17" ht="30" customHeight="1">
      <c r="A1412" s="102" t="s">
        <v>113</v>
      </c>
      <c r="B1412" s="57">
        <v>2</v>
      </c>
      <c r="C1412" s="57">
        <v>2</v>
      </c>
      <c r="D1412" s="22"/>
      <c r="E1412" s="43"/>
      <c r="F1412" s="43"/>
      <c r="G1412" s="2"/>
      <c r="H1412" s="3"/>
      <c r="I1412" s="408"/>
      <c r="J1412" s="93"/>
      <c r="M1412" s="87"/>
      <c r="N1412" s="152"/>
      <c r="O1412" s="91"/>
      <c r="P1412" s="91"/>
      <c r="Q1412" s="91"/>
    </row>
    <row r="1413" spans="1:27" s="40" customFormat="1" ht="30" customHeight="1">
      <c r="A1413" s="20" t="s">
        <v>39</v>
      </c>
      <c r="B1413" s="58">
        <v>15</v>
      </c>
      <c r="C1413" s="58">
        <v>15</v>
      </c>
      <c r="D1413" s="58"/>
      <c r="E1413" s="38"/>
      <c r="F1413" s="38"/>
      <c r="G1413" s="38"/>
      <c r="H1413" s="57"/>
      <c r="I1413" s="38"/>
      <c r="J1413" s="93"/>
      <c r="M1413" s="87"/>
      <c r="N1413" s="151"/>
      <c r="O1413" s="91"/>
      <c r="P1413" s="91"/>
      <c r="Q1413" s="91"/>
      <c r="R1413" s="80"/>
      <c r="S1413" s="80"/>
      <c r="T1413" s="80"/>
      <c r="U1413" s="80"/>
      <c r="V1413" s="80"/>
      <c r="W1413" s="80"/>
      <c r="X1413" s="80"/>
      <c r="Y1413" s="80"/>
      <c r="Z1413" s="80"/>
      <c r="AA1413" s="80"/>
    </row>
    <row r="1414" spans="1:17" ht="30" customHeight="1">
      <c r="A1414" s="20" t="s">
        <v>41</v>
      </c>
      <c r="B1414" s="22">
        <v>8</v>
      </c>
      <c r="C1414" s="22">
        <v>7</v>
      </c>
      <c r="D1414" s="22"/>
      <c r="E1414" s="43"/>
      <c r="F1414" s="43"/>
      <c r="G1414" s="2"/>
      <c r="H1414" s="3"/>
      <c r="I1414" s="409"/>
      <c r="J1414" s="93"/>
      <c r="M1414" s="87"/>
      <c r="N1414" s="152"/>
      <c r="O1414" s="91"/>
      <c r="P1414" s="91"/>
      <c r="Q1414" s="91"/>
    </row>
    <row r="1415" spans="1:17" ht="30" customHeight="1">
      <c r="A1415" s="671" t="s">
        <v>380</v>
      </c>
      <c r="B1415" s="671"/>
      <c r="C1415" s="322"/>
      <c r="D1415" s="238">
        <v>50</v>
      </c>
      <c r="E1415" s="21">
        <v>1.5</v>
      </c>
      <c r="F1415" s="21">
        <v>2.9</v>
      </c>
      <c r="G1415" s="21">
        <v>19</v>
      </c>
      <c r="H1415" s="3">
        <f>E1415*4+F1415*9+G1415*4</f>
        <v>108.1</v>
      </c>
      <c r="I1415" s="321"/>
      <c r="J1415" s="93"/>
      <c r="M1415" s="87"/>
      <c r="N1415" s="152"/>
      <c r="O1415" s="91"/>
      <c r="P1415" s="91"/>
      <c r="Q1415" s="91"/>
    </row>
    <row r="1416" spans="1:27" ht="30" customHeight="1">
      <c r="A1416" s="674" t="s">
        <v>74</v>
      </c>
      <c r="B1416" s="674"/>
      <c r="C1416" s="674"/>
      <c r="D1416" s="1">
        <v>20</v>
      </c>
      <c r="E1416" s="2">
        <v>1</v>
      </c>
      <c r="F1416" s="2">
        <v>0.27999999999999997</v>
      </c>
      <c r="G1416" s="2">
        <v>8.1</v>
      </c>
      <c r="H1416" s="3">
        <v>38.92</v>
      </c>
      <c r="I1416" s="294"/>
      <c r="J1416" s="93"/>
      <c r="M1416" s="87"/>
      <c r="N1416" s="151"/>
      <c r="O1416" s="91"/>
      <c r="P1416" s="91"/>
      <c r="Q1416" s="91"/>
      <c r="V1416" s="83"/>
      <c r="W1416" s="83"/>
      <c r="X1416" s="83"/>
      <c r="Y1416" s="83"/>
      <c r="Z1416" s="83"/>
      <c r="AA1416" s="83"/>
    </row>
    <row r="1417" spans="1:21" ht="30" customHeight="1">
      <c r="A1417" s="675" t="s">
        <v>72</v>
      </c>
      <c r="B1417" s="675"/>
      <c r="C1417" s="675"/>
      <c r="D1417" s="1">
        <v>20</v>
      </c>
      <c r="E1417" s="2"/>
      <c r="F1417" s="2"/>
      <c r="G1417" s="2"/>
      <c r="H1417" s="3"/>
      <c r="I1417" s="294"/>
      <c r="J1417" s="10"/>
      <c r="M1417" s="87"/>
      <c r="N1417" s="152"/>
      <c r="O1417" s="91"/>
      <c r="P1417" s="91"/>
      <c r="Q1417" s="91"/>
      <c r="S1417" s="83"/>
      <c r="T1417" s="83"/>
      <c r="U1417" s="83"/>
    </row>
    <row r="1418" spans="1:17" ht="30" customHeight="1">
      <c r="A1418" s="675" t="s">
        <v>34</v>
      </c>
      <c r="B1418" s="675"/>
      <c r="C1418" s="675"/>
      <c r="D1418" s="1">
        <v>20</v>
      </c>
      <c r="E1418" s="2">
        <v>0.7</v>
      </c>
      <c r="F1418" s="2">
        <v>0.1</v>
      </c>
      <c r="G1418" s="2">
        <v>9.4</v>
      </c>
      <c r="H1418" s="3">
        <v>40.52</v>
      </c>
      <c r="I1418" s="294"/>
      <c r="J1418" s="17"/>
      <c r="M1418" s="87"/>
      <c r="N1418" s="151"/>
      <c r="O1418" s="91"/>
      <c r="P1418" s="91"/>
      <c r="Q1418" s="91"/>
    </row>
    <row r="1419" spans="1:27" s="83" customFormat="1" ht="30" customHeight="1">
      <c r="A1419" s="675" t="s">
        <v>145</v>
      </c>
      <c r="B1419" s="675"/>
      <c r="C1419" s="675"/>
      <c r="D1419" s="1">
        <v>20</v>
      </c>
      <c r="E1419" s="2"/>
      <c r="F1419" s="2"/>
      <c r="G1419" s="2"/>
      <c r="H1419" s="3"/>
      <c r="I1419" s="294"/>
      <c r="J1419" s="17"/>
      <c r="M1419" s="87"/>
      <c r="N1419" s="151"/>
      <c r="O1419" s="87"/>
      <c r="P1419" s="87"/>
      <c r="Q1419" s="87"/>
      <c r="R1419" s="40"/>
      <c r="S1419" s="80"/>
      <c r="T1419" s="80"/>
      <c r="U1419" s="80"/>
      <c r="V1419" s="80"/>
      <c r="W1419" s="80"/>
      <c r="X1419" s="80"/>
      <c r="Y1419" s="80"/>
      <c r="Z1419" s="80"/>
      <c r="AA1419" s="80"/>
    </row>
    <row r="1420" spans="1:17" ht="30" customHeight="1">
      <c r="A1420" s="690" t="s">
        <v>205</v>
      </c>
      <c r="B1420" s="690"/>
      <c r="C1420" s="690"/>
      <c r="D1420" s="243">
        <f>D1421+270+D1451+D1474+D1483+D1490</f>
        <v>870</v>
      </c>
      <c r="E1420" s="71">
        <f>E1421+E1433+E1465+E1474+E1483+E1490+E1493+E1495</f>
        <v>28.364444444444445</v>
      </c>
      <c r="F1420" s="71">
        <f>F1421+F1433+F1465+F1474+F1483+F1490+F1493+F1495</f>
        <v>23.42888888888889</v>
      </c>
      <c r="G1420" s="71">
        <f>G1421+G1433+G1465+G1474+G1483+G1490+G1493+G1495</f>
        <v>126.04222222222222</v>
      </c>
      <c r="H1420" s="265">
        <f>H1421+H1433+H1465+H1474+H1483+H1490+H1493+H1495</f>
        <v>828.4866666666668</v>
      </c>
      <c r="I1420" s="293"/>
      <c r="J1420" s="16"/>
      <c r="M1420" s="87"/>
      <c r="N1420" s="152"/>
      <c r="O1420" s="91"/>
      <c r="P1420" s="91"/>
      <c r="Q1420" s="91"/>
    </row>
    <row r="1421" spans="1:17" ht="30" customHeight="1">
      <c r="A1421" s="683" t="s">
        <v>610</v>
      </c>
      <c r="B1421" s="683"/>
      <c r="C1421" s="683"/>
      <c r="D1421" s="1">
        <v>100</v>
      </c>
      <c r="E1421" s="2">
        <v>0.7000000000000001</v>
      </c>
      <c r="F1421" s="2">
        <v>0.1</v>
      </c>
      <c r="G1421" s="2">
        <v>1.9</v>
      </c>
      <c r="H1421" s="238">
        <f>E1421*4+F1421*9+G1421*4</f>
        <v>11.3</v>
      </c>
      <c r="I1421" s="297" t="s">
        <v>232</v>
      </c>
      <c r="J1421" s="16"/>
      <c r="M1421" s="87"/>
      <c r="N1421" s="152"/>
      <c r="O1421" s="91"/>
      <c r="P1421" s="91"/>
      <c r="Q1421" s="91"/>
    </row>
    <row r="1422" spans="1:17" ht="30" customHeight="1">
      <c r="A1422" s="59" t="s">
        <v>90</v>
      </c>
      <c r="B1422" s="45">
        <f>C1422*1.05</f>
        <v>105</v>
      </c>
      <c r="C1422" s="23">
        <v>100</v>
      </c>
      <c r="D1422" s="22"/>
      <c r="E1422" s="22"/>
      <c r="F1422" s="22"/>
      <c r="G1422" s="22"/>
      <c r="H1422" s="26"/>
      <c r="I1422" s="295"/>
      <c r="J1422" s="9"/>
      <c r="M1422" s="87"/>
      <c r="N1422" s="151"/>
      <c r="O1422" s="91"/>
      <c r="P1422" s="91"/>
      <c r="Q1422" s="91"/>
    </row>
    <row r="1423" spans="1:17" ht="30" customHeight="1">
      <c r="A1423" s="59" t="s">
        <v>76</v>
      </c>
      <c r="B1423" s="45">
        <f>C1423*1.02</f>
        <v>102</v>
      </c>
      <c r="C1423" s="23">
        <v>100</v>
      </c>
      <c r="D1423" s="221"/>
      <c r="E1423" s="221"/>
      <c r="F1423" s="221"/>
      <c r="G1423" s="221"/>
      <c r="H1423" s="534"/>
      <c r="I1423" s="295"/>
      <c r="J1423" s="9"/>
      <c r="M1423" s="87"/>
      <c r="N1423" s="152"/>
      <c r="O1423" s="91"/>
      <c r="P1423" s="91"/>
      <c r="Q1423" s="91"/>
    </row>
    <row r="1424" spans="1:17" ht="30" customHeight="1">
      <c r="A1424" s="691" t="s">
        <v>521</v>
      </c>
      <c r="B1424" s="691"/>
      <c r="C1424" s="691"/>
      <c r="D1424" s="244" t="s">
        <v>509</v>
      </c>
      <c r="E1424" s="21">
        <v>5.9</v>
      </c>
      <c r="F1424" s="21">
        <v>9.5</v>
      </c>
      <c r="G1424" s="21">
        <v>14.1</v>
      </c>
      <c r="H1424" s="238">
        <f>E1424*4+F1424*9+G1424*4</f>
        <v>165.5</v>
      </c>
      <c r="I1424" s="302" t="s">
        <v>502</v>
      </c>
      <c r="J1424" s="9"/>
      <c r="M1424" s="87"/>
      <c r="N1424" s="151"/>
      <c r="O1424" s="91"/>
      <c r="P1424" s="91"/>
      <c r="Q1424" s="91"/>
    </row>
    <row r="1425" spans="1:17" ht="30" customHeight="1">
      <c r="A1425" s="54" t="s">
        <v>503</v>
      </c>
      <c r="B1425" s="37">
        <f>C1425*1.12</f>
        <v>58.24000000000001</v>
      </c>
      <c r="C1425" s="24">
        <v>52</v>
      </c>
      <c r="D1425" s="33"/>
      <c r="E1425" s="270"/>
      <c r="F1425" s="270"/>
      <c r="G1425" s="270"/>
      <c r="H1425" s="24"/>
      <c r="I1425" s="270"/>
      <c r="J1425" s="36"/>
      <c r="M1425" s="87"/>
      <c r="N1425" s="151"/>
      <c r="O1425" s="91"/>
      <c r="P1425" s="91"/>
      <c r="Q1425" s="91"/>
    </row>
    <row r="1426" spans="1:17" ht="30" customHeight="1">
      <c r="A1426" s="54" t="s">
        <v>504</v>
      </c>
      <c r="B1426" s="37">
        <f>C1426*1.04</f>
        <v>37.44</v>
      </c>
      <c r="C1426" s="24">
        <v>36</v>
      </c>
      <c r="D1426" s="420"/>
      <c r="E1426" s="421"/>
      <c r="F1426" s="38"/>
      <c r="G1426" s="38"/>
      <c r="H1426" s="104"/>
      <c r="I1426" s="422"/>
      <c r="J1426" s="9"/>
      <c r="M1426" s="87"/>
      <c r="N1426" s="151"/>
      <c r="O1426" s="91"/>
      <c r="P1426" s="91"/>
      <c r="Q1426" s="91"/>
    </row>
    <row r="1427" spans="1:17" ht="30" customHeight="1">
      <c r="A1427" s="171" t="s">
        <v>505</v>
      </c>
      <c r="B1427" s="126">
        <f>C1427*1.054</f>
        <v>29.512</v>
      </c>
      <c r="C1427" s="23">
        <v>28</v>
      </c>
      <c r="D1427" s="282"/>
      <c r="E1427" s="440"/>
      <c r="F1427" s="33"/>
      <c r="G1427" s="33"/>
      <c r="H1427" s="24"/>
      <c r="I1427" s="441"/>
      <c r="J1427" s="9"/>
      <c r="M1427" s="91"/>
      <c r="N1427" s="151"/>
      <c r="O1427" s="91"/>
      <c r="P1427" s="91"/>
      <c r="Q1427" s="91"/>
    </row>
    <row r="1428" spans="1:17" ht="30" customHeight="1">
      <c r="A1428" s="115" t="s">
        <v>112</v>
      </c>
      <c r="B1428" s="43">
        <f>C1428*1.25</f>
        <v>3.75</v>
      </c>
      <c r="C1428" s="26">
        <v>3</v>
      </c>
      <c r="D1428" s="234"/>
      <c r="E1428" s="32"/>
      <c r="F1428" s="32"/>
      <c r="G1428" s="32"/>
      <c r="H1428" s="45"/>
      <c r="I1428" s="21"/>
      <c r="J1428" s="9"/>
      <c r="M1428" s="91"/>
      <c r="N1428" s="151"/>
      <c r="O1428" s="91"/>
      <c r="P1428" s="91"/>
      <c r="Q1428" s="91"/>
    </row>
    <row r="1429" spans="1:17" ht="30" customHeight="1">
      <c r="A1429" s="115" t="s">
        <v>43</v>
      </c>
      <c r="B1429" s="26">
        <f>C1429*1.33</f>
        <v>3.99</v>
      </c>
      <c r="C1429" s="26">
        <v>3</v>
      </c>
      <c r="D1429" s="234"/>
      <c r="E1429" s="32"/>
      <c r="F1429" s="32"/>
      <c r="G1429" s="32"/>
      <c r="H1429" s="45"/>
      <c r="I1429" s="21"/>
      <c r="J1429" s="9"/>
      <c r="M1429" s="91"/>
      <c r="N1429" s="152"/>
      <c r="O1429" s="91"/>
      <c r="P1429" s="91"/>
      <c r="Q1429" s="91"/>
    </row>
    <row r="1430" spans="1:18" ht="30" customHeight="1">
      <c r="A1430" s="20" t="s">
        <v>51</v>
      </c>
      <c r="B1430" s="43">
        <f>C1430*1.19</f>
        <v>3.57</v>
      </c>
      <c r="C1430" s="24">
        <v>3</v>
      </c>
      <c r="D1430" s="234"/>
      <c r="E1430" s="32"/>
      <c r="F1430" s="32"/>
      <c r="G1430" s="32"/>
      <c r="H1430" s="45"/>
      <c r="I1430" s="21"/>
      <c r="J1430" s="9"/>
      <c r="M1430" s="91"/>
      <c r="N1430" s="154"/>
      <c r="O1430" s="93"/>
      <c r="P1430" s="93"/>
      <c r="Q1430" s="93"/>
      <c r="R1430" s="83"/>
    </row>
    <row r="1431" spans="1:17" ht="30" customHeight="1">
      <c r="A1431" s="20" t="s">
        <v>60</v>
      </c>
      <c r="B1431" s="26">
        <v>288</v>
      </c>
      <c r="C1431" s="24">
        <v>288</v>
      </c>
      <c r="D1431" s="234"/>
      <c r="E1431" s="32"/>
      <c r="F1431" s="32"/>
      <c r="G1431" s="32"/>
      <c r="H1431" s="45"/>
      <c r="I1431" s="21"/>
      <c r="J1431" s="9"/>
      <c r="M1431" s="91"/>
      <c r="N1431" s="331"/>
      <c r="O1431" s="91"/>
      <c r="P1431" s="91"/>
      <c r="Q1431" s="91"/>
    </row>
    <row r="1432" spans="1:21" ht="30" customHeight="1">
      <c r="A1432" s="20" t="s">
        <v>508</v>
      </c>
      <c r="B1432" s="26">
        <v>225</v>
      </c>
      <c r="C1432" s="24">
        <v>225</v>
      </c>
      <c r="D1432" s="234"/>
      <c r="E1432" s="32"/>
      <c r="F1432" s="32"/>
      <c r="G1432" s="32"/>
      <c r="H1432" s="45"/>
      <c r="I1432" s="21"/>
      <c r="J1432" s="9"/>
      <c r="M1432" s="91"/>
      <c r="N1432" s="152"/>
      <c r="O1432" s="91"/>
      <c r="P1432" s="91"/>
      <c r="Q1432" s="91"/>
      <c r="S1432" s="40"/>
      <c r="T1432" s="40"/>
      <c r="U1432" s="40"/>
    </row>
    <row r="1433" spans="1:17" ht="30" customHeight="1">
      <c r="A1433" s="691" t="s">
        <v>506</v>
      </c>
      <c r="B1433" s="691"/>
      <c r="C1433" s="691"/>
      <c r="D1433" s="244" t="s">
        <v>509</v>
      </c>
      <c r="E1433" s="21">
        <v>5.7</v>
      </c>
      <c r="F1433" s="21">
        <v>9.1</v>
      </c>
      <c r="G1433" s="21">
        <v>14.1</v>
      </c>
      <c r="H1433" s="238">
        <f>E1433*4+F1433*9+G1433*4</f>
        <v>161.1</v>
      </c>
      <c r="I1433" s="302" t="s">
        <v>502</v>
      </c>
      <c r="J1433" s="9"/>
      <c r="M1433" s="91"/>
      <c r="N1433" s="152"/>
      <c r="O1433" s="91"/>
      <c r="P1433" s="91"/>
      <c r="Q1433" s="91"/>
    </row>
    <row r="1434" spans="1:17" ht="30" customHeight="1">
      <c r="A1434" s="132" t="s">
        <v>45</v>
      </c>
      <c r="B1434" s="37">
        <f>C1434*1.36</f>
        <v>43.52</v>
      </c>
      <c r="C1434" s="24">
        <v>32</v>
      </c>
      <c r="D1434" s="33"/>
      <c r="E1434" s="32"/>
      <c r="F1434" s="32"/>
      <c r="G1434" s="32"/>
      <c r="H1434" s="45"/>
      <c r="I1434" s="32"/>
      <c r="J1434" s="9"/>
      <c r="M1434" s="91"/>
      <c r="N1434" s="152"/>
      <c r="O1434" s="91"/>
      <c r="P1434" s="91"/>
      <c r="Q1434" s="91"/>
    </row>
    <row r="1435" spans="1:27" s="40" customFormat="1" ht="30" customHeight="1">
      <c r="A1435" s="132" t="s">
        <v>46</v>
      </c>
      <c r="B1435" s="37">
        <f>C1435*1.18</f>
        <v>37.76</v>
      </c>
      <c r="C1435" s="33">
        <v>32</v>
      </c>
      <c r="D1435" s="398"/>
      <c r="E1435" s="399"/>
      <c r="F1435" s="399"/>
      <c r="G1435" s="399"/>
      <c r="H1435" s="316"/>
      <c r="I1435" s="399"/>
      <c r="J1435" s="9"/>
      <c r="M1435" s="93"/>
      <c r="N1435" s="154"/>
      <c r="O1435" s="91"/>
      <c r="P1435" s="91"/>
      <c r="Q1435" s="91"/>
      <c r="R1435" s="80"/>
      <c r="S1435" s="80"/>
      <c r="T1435" s="80"/>
      <c r="U1435" s="80"/>
      <c r="V1435" s="80"/>
      <c r="W1435" s="80"/>
      <c r="X1435" s="80"/>
      <c r="Y1435" s="80"/>
      <c r="Z1435" s="80"/>
      <c r="AA1435" s="80"/>
    </row>
    <row r="1436" spans="1:17" ht="30" customHeight="1">
      <c r="A1436" s="115" t="s">
        <v>112</v>
      </c>
      <c r="B1436" s="43">
        <f>C1436*1.25</f>
        <v>3.75</v>
      </c>
      <c r="C1436" s="26">
        <v>3</v>
      </c>
      <c r="D1436" s="234"/>
      <c r="E1436" s="32"/>
      <c r="F1436" s="32"/>
      <c r="G1436" s="32"/>
      <c r="H1436" s="45"/>
      <c r="I1436" s="21"/>
      <c r="J1436" s="9"/>
      <c r="M1436" s="91"/>
      <c r="N1436" s="151"/>
      <c r="O1436" s="91"/>
      <c r="P1436" s="91"/>
      <c r="Q1436" s="91"/>
    </row>
    <row r="1437" spans="1:17" ht="30" customHeight="1">
      <c r="A1437" s="115" t="s">
        <v>43</v>
      </c>
      <c r="B1437" s="26">
        <f>C1437*1.33</f>
        <v>3.99</v>
      </c>
      <c r="C1437" s="26">
        <v>3</v>
      </c>
      <c r="D1437" s="234"/>
      <c r="E1437" s="32"/>
      <c r="F1437" s="32"/>
      <c r="G1437" s="32"/>
      <c r="H1437" s="45"/>
      <c r="I1437" s="21"/>
      <c r="J1437" s="7"/>
      <c r="M1437" s="91"/>
      <c r="N1437" s="151"/>
      <c r="O1437" s="91"/>
      <c r="P1437" s="91"/>
      <c r="Q1437" s="91"/>
    </row>
    <row r="1438" spans="1:17" ht="30" customHeight="1">
      <c r="A1438" s="20" t="s">
        <v>51</v>
      </c>
      <c r="B1438" s="43">
        <f>C1438*1.19</f>
        <v>3.57</v>
      </c>
      <c r="C1438" s="24">
        <v>3</v>
      </c>
      <c r="D1438" s="234"/>
      <c r="E1438" s="32"/>
      <c r="F1438" s="32"/>
      <c r="G1438" s="32"/>
      <c r="H1438" s="45"/>
      <c r="I1438" s="21"/>
      <c r="J1438" s="7"/>
      <c r="M1438" s="91"/>
      <c r="N1438" s="332"/>
      <c r="O1438" s="91"/>
      <c r="P1438" s="91"/>
      <c r="Q1438" s="91"/>
    </row>
    <row r="1439" spans="1:21" ht="30" customHeight="1">
      <c r="A1439" s="20" t="s">
        <v>60</v>
      </c>
      <c r="B1439" s="26">
        <v>288</v>
      </c>
      <c r="C1439" s="24">
        <v>288</v>
      </c>
      <c r="D1439" s="234"/>
      <c r="E1439" s="32"/>
      <c r="F1439" s="32"/>
      <c r="G1439" s="32"/>
      <c r="H1439" s="45"/>
      <c r="I1439" s="21"/>
      <c r="J1439" s="9"/>
      <c r="M1439" s="91"/>
      <c r="N1439" s="332"/>
      <c r="O1439" s="91"/>
      <c r="P1439" s="91"/>
      <c r="Q1439" s="91"/>
      <c r="S1439" s="83"/>
      <c r="T1439" s="83"/>
      <c r="U1439" s="83"/>
    </row>
    <row r="1440" spans="1:20" ht="30" customHeight="1">
      <c r="A1440" s="20" t="s">
        <v>510</v>
      </c>
      <c r="B1440" s="26">
        <v>225</v>
      </c>
      <c r="C1440" s="24">
        <v>225</v>
      </c>
      <c r="D1440" s="234"/>
      <c r="E1440" s="32"/>
      <c r="F1440" s="32"/>
      <c r="G1440" s="32"/>
      <c r="H1440" s="45"/>
      <c r="I1440" s="21"/>
      <c r="J1440" s="9"/>
      <c r="S1440" s="87"/>
      <c r="T1440" s="87"/>
    </row>
    <row r="1441" spans="1:20" ht="30" customHeight="1">
      <c r="A1441" s="591" t="s">
        <v>381</v>
      </c>
      <c r="B1441" s="24"/>
      <c r="C1441" s="592">
        <v>20</v>
      </c>
      <c r="D1441" s="282"/>
      <c r="E1441" s="292"/>
      <c r="F1441" s="283"/>
      <c r="G1441" s="283"/>
      <c r="H1441" s="454"/>
      <c r="I1441" s="302" t="s">
        <v>507</v>
      </c>
      <c r="J1441" s="9"/>
      <c r="S1441" s="87"/>
      <c r="T1441" s="87"/>
    </row>
    <row r="1442" spans="1:20" ht="30" customHeight="1">
      <c r="A1442" s="100" t="s">
        <v>54</v>
      </c>
      <c r="B1442" s="162">
        <v>18</v>
      </c>
      <c r="C1442" s="57">
        <v>18</v>
      </c>
      <c r="D1442" s="289"/>
      <c r="E1442" s="38"/>
      <c r="F1442" s="38"/>
      <c r="G1442" s="38"/>
      <c r="H1442" s="57"/>
      <c r="I1442" s="306"/>
      <c r="J1442" s="9"/>
      <c r="S1442" s="87"/>
      <c r="T1442" s="87"/>
    </row>
    <row r="1443" spans="1:20" ht="30" customHeight="1">
      <c r="A1443" s="100" t="s">
        <v>218</v>
      </c>
      <c r="B1443" s="177">
        <v>1.2</v>
      </c>
      <c r="C1443" s="50">
        <v>1.2</v>
      </c>
      <c r="D1443" s="290"/>
      <c r="E1443" s="50"/>
      <c r="F1443" s="50"/>
      <c r="G1443" s="50"/>
      <c r="H1443" s="57"/>
      <c r="I1443" s="298"/>
      <c r="J1443" s="9"/>
      <c r="S1443" s="87"/>
      <c r="T1443" s="87"/>
    </row>
    <row r="1444" spans="1:20" ht="30" customHeight="1">
      <c r="A1444" s="25" t="s">
        <v>91</v>
      </c>
      <c r="B1444" s="161">
        <v>5</v>
      </c>
      <c r="C1444" s="46">
        <v>5</v>
      </c>
      <c r="D1444" s="46"/>
      <c r="E1444" s="50"/>
      <c r="F1444" s="50"/>
      <c r="G1444" s="50"/>
      <c r="H1444" s="238"/>
      <c r="I1444" s="297"/>
      <c r="J1444" s="9"/>
      <c r="S1444" s="87"/>
      <c r="T1444" s="87"/>
    </row>
    <row r="1445" spans="1:20" ht="30" customHeight="1">
      <c r="A1445" s="100" t="s">
        <v>60</v>
      </c>
      <c r="B1445" s="163">
        <v>3.5</v>
      </c>
      <c r="C1445" s="38">
        <v>3.5</v>
      </c>
      <c r="D1445" s="58"/>
      <c r="E1445" s="38"/>
      <c r="F1445" s="38"/>
      <c r="G1445" s="38"/>
      <c r="H1445" s="238"/>
      <c r="I1445" s="300"/>
      <c r="J1445" s="9"/>
      <c r="S1445" s="87"/>
      <c r="T1445" s="87"/>
    </row>
    <row r="1446" spans="1:20" ht="30" customHeight="1">
      <c r="A1446" s="20" t="s">
        <v>219</v>
      </c>
      <c r="B1446" s="163">
        <v>0.5</v>
      </c>
      <c r="C1446" s="38">
        <v>0.5</v>
      </c>
      <c r="D1446" s="58"/>
      <c r="E1446" s="38"/>
      <c r="F1446" s="38"/>
      <c r="G1446" s="38"/>
      <c r="H1446" s="238"/>
      <c r="I1446" s="300"/>
      <c r="J1446" s="36"/>
      <c r="S1446" s="87"/>
      <c r="T1446" s="87"/>
    </row>
    <row r="1447" spans="1:20" ht="30" customHeight="1">
      <c r="A1447" s="100" t="s">
        <v>220</v>
      </c>
      <c r="B1447" s="161">
        <v>20</v>
      </c>
      <c r="C1447" s="46">
        <v>20</v>
      </c>
      <c r="D1447" s="47"/>
      <c r="E1447" s="50"/>
      <c r="F1447" s="50"/>
      <c r="G1447" s="50"/>
      <c r="H1447" s="238"/>
      <c r="I1447" s="297"/>
      <c r="J1447" s="9"/>
      <c r="S1447" s="87"/>
      <c r="T1447" s="87"/>
    </row>
    <row r="1448" spans="1:10" ht="30" customHeight="1">
      <c r="A1448" s="20" t="s">
        <v>75</v>
      </c>
      <c r="B1448" s="43">
        <f>C1448*1.02</f>
        <v>20.4</v>
      </c>
      <c r="C1448" s="22">
        <v>20</v>
      </c>
      <c r="D1448" s="22"/>
      <c r="E1448" s="43"/>
      <c r="F1448" s="43"/>
      <c r="G1448" s="43"/>
      <c r="H1448" s="43"/>
      <c r="I1448" s="43"/>
      <c r="J1448" s="9"/>
    </row>
    <row r="1449" spans="1:10" ht="30" customHeight="1">
      <c r="A1449" s="59" t="s">
        <v>89</v>
      </c>
      <c r="B1449" s="45">
        <f>1.18*C1449</f>
        <v>23.599999999999998</v>
      </c>
      <c r="C1449" s="22">
        <v>20</v>
      </c>
      <c r="D1449" s="221"/>
      <c r="E1449" s="221"/>
      <c r="F1449" s="221"/>
      <c r="G1449" s="221"/>
      <c r="H1449" s="221"/>
      <c r="I1449" s="221"/>
      <c r="J1449" s="9"/>
    </row>
    <row r="1450" spans="1:10" ht="30" customHeight="1">
      <c r="A1450" s="100" t="s">
        <v>70</v>
      </c>
      <c r="B1450" s="162">
        <v>5</v>
      </c>
      <c r="C1450" s="57">
        <v>5</v>
      </c>
      <c r="D1450" s="58"/>
      <c r="E1450" s="291"/>
      <c r="F1450" s="291"/>
      <c r="G1450" s="291"/>
      <c r="H1450" s="538"/>
      <c r="I1450" s="300"/>
      <c r="J1450" s="9"/>
    </row>
    <row r="1451" spans="1:10" ht="30" customHeight="1">
      <c r="A1451" s="683" t="s">
        <v>383</v>
      </c>
      <c r="B1451" s="683"/>
      <c r="C1451" s="683"/>
      <c r="D1451" s="1">
        <v>120</v>
      </c>
      <c r="E1451" s="2">
        <v>12.9</v>
      </c>
      <c r="F1451" s="2">
        <v>12.1</v>
      </c>
      <c r="G1451" s="2">
        <v>4.1</v>
      </c>
      <c r="H1451" s="3">
        <f>E1451*4+F1451*9+G1451*4</f>
        <v>176.9</v>
      </c>
      <c r="I1451" s="298" t="s">
        <v>382</v>
      </c>
      <c r="J1451" s="10"/>
    </row>
    <row r="1452" spans="1:10" ht="30" customHeight="1">
      <c r="A1452" s="54" t="s">
        <v>391</v>
      </c>
      <c r="B1452" s="159">
        <f>C1452*1.18</f>
        <v>136.88</v>
      </c>
      <c r="C1452" s="23">
        <v>116</v>
      </c>
      <c r="D1452" s="1"/>
      <c r="E1452" s="45"/>
      <c r="F1452" s="45"/>
      <c r="G1452" s="2"/>
      <c r="H1452" s="3"/>
      <c r="I1452" s="298"/>
      <c r="J1452" s="10"/>
    </row>
    <row r="1453" spans="1:18" ht="30" customHeight="1">
      <c r="A1453" s="89" t="s">
        <v>51</v>
      </c>
      <c r="B1453" s="32">
        <f>C1453*1.19</f>
        <v>3.332</v>
      </c>
      <c r="C1453" s="23">
        <v>2.8</v>
      </c>
      <c r="D1453" s="1"/>
      <c r="E1453" s="32"/>
      <c r="F1453" s="23"/>
      <c r="G1453" s="2"/>
      <c r="H1453" s="46"/>
      <c r="I1453" s="305"/>
      <c r="J1453" s="91"/>
      <c r="N1453" s="40"/>
      <c r="O1453" s="40"/>
      <c r="P1453" s="40"/>
      <c r="Q1453" s="40"/>
      <c r="R1453" s="40"/>
    </row>
    <row r="1454" spans="1:10" ht="30" customHeight="1">
      <c r="A1454" s="53" t="s">
        <v>112</v>
      </c>
      <c r="B1454" s="32">
        <f>C1454*1.25</f>
        <v>3.5</v>
      </c>
      <c r="C1454" s="23">
        <v>2.8</v>
      </c>
      <c r="D1454" s="1"/>
      <c r="E1454" s="32"/>
      <c r="F1454" s="23"/>
      <c r="G1454" s="2"/>
      <c r="H1454" s="46"/>
      <c r="I1454" s="305"/>
      <c r="J1454" s="15"/>
    </row>
    <row r="1455" spans="1:21" ht="30" customHeight="1">
      <c r="A1455" s="59" t="s">
        <v>43</v>
      </c>
      <c r="B1455" s="32">
        <f>C1455*1.33</f>
        <v>3.7239999999999998</v>
      </c>
      <c r="C1455" s="23">
        <v>2.8</v>
      </c>
      <c r="D1455" s="1"/>
      <c r="E1455" s="32"/>
      <c r="F1455" s="23"/>
      <c r="G1455" s="2"/>
      <c r="H1455" s="46"/>
      <c r="I1455" s="305"/>
      <c r="J1455" s="16"/>
      <c r="S1455" s="95"/>
      <c r="T1455" s="95"/>
      <c r="U1455" s="95"/>
    </row>
    <row r="1456" spans="1:10" ht="30" customHeight="1">
      <c r="A1456" s="147" t="s">
        <v>44</v>
      </c>
      <c r="B1456" s="64">
        <v>7</v>
      </c>
      <c r="C1456" s="64">
        <v>7</v>
      </c>
      <c r="D1456" s="1"/>
      <c r="E1456" s="45"/>
      <c r="F1456" s="23"/>
      <c r="G1456" s="2"/>
      <c r="H1456" s="64"/>
      <c r="I1456" s="455"/>
      <c r="J1456" s="91"/>
    </row>
    <row r="1457" spans="1:10" ht="30" customHeight="1">
      <c r="A1457" s="147" t="s">
        <v>384</v>
      </c>
      <c r="B1457" s="64"/>
      <c r="C1457" s="64">
        <v>70</v>
      </c>
      <c r="D1457" s="1"/>
      <c r="E1457" s="32"/>
      <c r="F1457" s="23"/>
      <c r="G1457" s="2"/>
      <c r="H1457" s="64"/>
      <c r="I1457" s="407"/>
      <c r="J1457" s="9"/>
    </row>
    <row r="1458" spans="1:10" ht="30" customHeight="1">
      <c r="A1458" s="59" t="s">
        <v>525</v>
      </c>
      <c r="B1458" s="32">
        <f>C1458*1.28</f>
        <v>0.8959999999999999</v>
      </c>
      <c r="C1458" s="437">
        <v>0.7</v>
      </c>
      <c r="D1458" s="1"/>
      <c r="E1458" s="32"/>
      <c r="F1458" s="23"/>
      <c r="G1458" s="2"/>
      <c r="H1458" s="64"/>
      <c r="I1458" s="455"/>
      <c r="J1458" s="9"/>
    </row>
    <row r="1459" spans="1:10" ht="30" customHeight="1">
      <c r="A1459" s="442" t="s">
        <v>452</v>
      </c>
      <c r="B1459" s="406"/>
      <c r="C1459" s="244">
        <v>50</v>
      </c>
      <c r="D1459" s="23"/>
      <c r="E1459" s="21"/>
      <c r="F1459" s="21"/>
      <c r="G1459" s="21"/>
      <c r="H1459" s="238"/>
      <c r="I1459" s="297" t="s">
        <v>453</v>
      </c>
      <c r="J1459" s="9"/>
    </row>
    <row r="1460" spans="1:18" ht="30" customHeight="1">
      <c r="A1460" s="53" t="s">
        <v>340</v>
      </c>
      <c r="B1460" s="23">
        <v>50</v>
      </c>
      <c r="C1460" s="23">
        <v>50</v>
      </c>
      <c r="D1460" s="23"/>
      <c r="E1460" s="21"/>
      <c r="F1460" s="21"/>
      <c r="G1460" s="21"/>
      <c r="H1460" s="238"/>
      <c r="I1460" s="21"/>
      <c r="J1460" s="9"/>
      <c r="N1460" s="83"/>
      <c r="O1460" s="83"/>
      <c r="P1460" s="83"/>
      <c r="Q1460" s="83"/>
      <c r="R1460" s="83"/>
    </row>
    <row r="1461" spans="1:21" ht="30" customHeight="1">
      <c r="A1461" s="53" t="s">
        <v>70</v>
      </c>
      <c r="B1461" s="23">
        <v>2.3</v>
      </c>
      <c r="C1461" s="23">
        <v>2.3</v>
      </c>
      <c r="D1461" s="23"/>
      <c r="E1461" s="32"/>
      <c r="F1461" s="32"/>
      <c r="G1461" s="32"/>
      <c r="H1461" s="45"/>
      <c r="I1461" s="21"/>
      <c r="J1461" s="9"/>
      <c r="S1461" s="83"/>
      <c r="T1461" s="83"/>
      <c r="U1461" s="83"/>
    </row>
    <row r="1462" spans="1:10" ht="30" customHeight="1">
      <c r="A1462" s="20" t="s">
        <v>54</v>
      </c>
      <c r="B1462" s="23">
        <v>2.3</v>
      </c>
      <c r="C1462" s="23">
        <v>2.3</v>
      </c>
      <c r="D1462" s="23"/>
      <c r="E1462" s="32"/>
      <c r="F1462" s="32"/>
      <c r="G1462" s="32"/>
      <c r="H1462" s="45"/>
      <c r="I1462" s="21"/>
      <c r="J1462" s="9"/>
    </row>
    <row r="1463" spans="1:10" ht="30" customHeight="1">
      <c r="A1463" s="89" t="s">
        <v>83</v>
      </c>
      <c r="B1463" s="24">
        <v>10</v>
      </c>
      <c r="C1463" s="24">
        <v>10</v>
      </c>
      <c r="D1463" s="23"/>
      <c r="E1463" s="32"/>
      <c r="F1463" s="32"/>
      <c r="G1463" s="32"/>
      <c r="H1463" s="45"/>
      <c r="I1463" s="21"/>
      <c r="J1463" s="9"/>
    </row>
    <row r="1464" spans="1:10" ht="30" customHeight="1">
      <c r="A1464" s="692" t="s">
        <v>95</v>
      </c>
      <c r="B1464" s="692"/>
      <c r="C1464" s="692"/>
      <c r="D1464" s="692"/>
      <c r="E1464" s="692"/>
      <c r="F1464" s="692"/>
      <c r="G1464" s="692"/>
      <c r="H1464" s="692"/>
      <c r="I1464" s="692"/>
      <c r="J1464" s="9"/>
    </row>
    <row r="1465" spans="1:10" ht="30" customHeight="1">
      <c r="A1465" s="671" t="s">
        <v>442</v>
      </c>
      <c r="B1465" s="671"/>
      <c r="C1465" s="671"/>
      <c r="D1465" s="1">
        <v>100</v>
      </c>
      <c r="E1465" s="242">
        <v>11.5</v>
      </c>
      <c r="F1465" s="242">
        <v>7.8</v>
      </c>
      <c r="G1465" s="242">
        <v>8.4</v>
      </c>
      <c r="H1465" s="3">
        <f>E1465*4+F1465*9+G1465*4</f>
        <v>149.8</v>
      </c>
      <c r="I1465" s="300" t="s">
        <v>441</v>
      </c>
      <c r="J1465" s="9"/>
    </row>
    <row r="1466" spans="1:10" ht="30" customHeight="1">
      <c r="A1466" s="132" t="s">
        <v>328</v>
      </c>
      <c r="B1466" s="37">
        <f>C1466*1.17</f>
        <v>59.669999999999995</v>
      </c>
      <c r="C1466" s="57">
        <v>51</v>
      </c>
      <c r="D1466" s="1"/>
      <c r="E1466" s="2"/>
      <c r="F1466" s="2"/>
      <c r="G1466" s="2"/>
      <c r="H1466" s="3"/>
      <c r="I1466" s="294"/>
      <c r="J1466" s="9"/>
    </row>
    <row r="1467" spans="1:10" ht="30" customHeight="1">
      <c r="A1467" s="132" t="s">
        <v>45</v>
      </c>
      <c r="B1467" s="37">
        <f>C1467*1.36</f>
        <v>69.36</v>
      </c>
      <c r="C1467" s="57">
        <v>51</v>
      </c>
      <c r="D1467" s="287"/>
      <c r="E1467" s="288"/>
      <c r="F1467" s="288"/>
      <c r="G1467" s="288"/>
      <c r="H1467" s="535"/>
      <c r="I1467" s="623"/>
      <c r="J1467" s="9"/>
    </row>
    <row r="1468" spans="1:10" ht="30" customHeight="1">
      <c r="A1468" s="132" t="s">
        <v>46</v>
      </c>
      <c r="B1468" s="37">
        <f>C1468*1.18</f>
        <v>60.18</v>
      </c>
      <c r="C1468" s="57">
        <v>51</v>
      </c>
      <c r="D1468" s="535"/>
      <c r="E1468" s="402"/>
      <c r="F1468" s="402"/>
      <c r="G1468" s="402"/>
      <c r="H1468" s="316"/>
      <c r="I1468" s="629"/>
      <c r="J1468" s="9"/>
    </row>
    <row r="1469" spans="1:21" ht="30" customHeight="1">
      <c r="A1469" s="89" t="s">
        <v>51</v>
      </c>
      <c r="B1469" s="32">
        <f>C1469*1.19</f>
        <v>16.66</v>
      </c>
      <c r="C1469" s="23">
        <v>14</v>
      </c>
      <c r="D1469" s="287"/>
      <c r="E1469" s="32"/>
      <c r="F1469" s="32"/>
      <c r="G1469" s="32"/>
      <c r="H1469" s="45"/>
      <c r="I1469" s="302"/>
      <c r="J1469" s="9"/>
      <c r="S1469" s="83"/>
      <c r="T1469" s="83"/>
      <c r="U1469" s="83"/>
    </row>
    <row r="1470" spans="1:10" ht="30" customHeight="1">
      <c r="A1470" s="25" t="s">
        <v>91</v>
      </c>
      <c r="B1470" s="45">
        <v>10</v>
      </c>
      <c r="C1470" s="23">
        <v>10</v>
      </c>
      <c r="D1470" s="287"/>
      <c r="E1470" s="402"/>
      <c r="F1470" s="402"/>
      <c r="G1470" s="402"/>
      <c r="H1470" s="316"/>
      <c r="I1470" s="629"/>
      <c r="J1470" s="9"/>
    </row>
    <row r="1471" spans="1:10" ht="30" customHeight="1">
      <c r="A1471" s="53" t="s">
        <v>63</v>
      </c>
      <c r="B1471" s="45">
        <v>18</v>
      </c>
      <c r="C1471" s="23">
        <v>18</v>
      </c>
      <c r="D1471" s="287"/>
      <c r="E1471" s="402"/>
      <c r="F1471" s="402"/>
      <c r="G1471" s="402"/>
      <c r="H1471" s="316"/>
      <c r="I1471" s="629"/>
      <c r="J1471" s="9"/>
    </row>
    <row r="1472" spans="1:10" ht="30" customHeight="1">
      <c r="A1472" s="53" t="s">
        <v>44</v>
      </c>
      <c r="B1472" s="45">
        <v>2</v>
      </c>
      <c r="C1472" s="45">
        <v>2</v>
      </c>
      <c r="D1472" s="287"/>
      <c r="E1472" s="32"/>
      <c r="F1472" s="32"/>
      <c r="G1472" s="32"/>
      <c r="H1472" s="45"/>
      <c r="I1472" s="302"/>
      <c r="J1472" s="9"/>
    </row>
    <row r="1473" spans="1:14" ht="30" customHeight="1">
      <c r="A1473" s="436" t="s">
        <v>330</v>
      </c>
      <c r="B1473" s="436"/>
      <c r="C1473" s="436"/>
      <c r="D1473" s="418" t="s">
        <v>331</v>
      </c>
      <c r="E1473" s="437"/>
      <c r="F1473" s="437"/>
      <c r="G1473" s="437"/>
      <c r="H1473" s="64"/>
      <c r="I1473" s="240"/>
      <c r="J1473" s="9"/>
      <c r="N1473" s="40"/>
    </row>
    <row r="1474" spans="1:14" ht="30" customHeight="1">
      <c r="A1474" s="630" t="s">
        <v>280</v>
      </c>
      <c r="B1474" s="630"/>
      <c r="C1474" s="630"/>
      <c r="D1474" s="418">
        <v>80</v>
      </c>
      <c r="E1474" s="240">
        <v>1.6444444444444444</v>
      </c>
      <c r="F1474" s="240">
        <v>2.088888888888889</v>
      </c>
      <c r="G1474" s="240">
        <v>6.622222222222222</v>
      </c>
      <c r="H1474" s="396">
        <f>E1474*4+F1474*9+G1474*4</f>
        <v>51.86666666666667</v>
      </c>
      <c r="I1474" s="407" t="s">
        <v>281</v>
      </c>
      <c r="J1474" s="9"/>
      <c r="N1474" s="40"/>
    </row>
    <row r="1475" spans="1:14" ht="30" customHeight="1">
      <c r="A1475" s="59" t="s">
        <v>55</v>
      </c>
      <c r="B1475" s="64">
        <f>C1475*1.25</f>
        <v>115</v>
      </c>
      <c r="C1475" s="64">
        <v>92</v>
      </c>
      <c r="D1475" s="61"/>
      <c r="E1475" s="437"/>
      <c r="F1475" s="437"/>
      <c r="G1475" s="437"/>
      <c r="H1475" s="64"/>
      <c r="I1475" s="407"/>
      <c r="J1475" s="9"/>
      <c r="N1475" s="40"/>
    </row>
    <row r="1476" spans="1:21" ht="30" customHeight="1">
      <c r="A1476" s="147" t="s">
        <v>44</v>
      </c>
      <c r="B1476" s="64">
        <v>3</v>
      </c>
      <c r="C1476" s="64">
        <v>3</v>
      </c>
      <c r="D1476" s="61"/>
      <c r="E1476" s="437"/>
      <c r="F1476" s="437"/>
      <c r="G1476" s="437"/>
      <c r="H1476" s="64"/>
      <c r="I1476" s="455"/>
      <c r="J1476" s="9"/>
      <c r="N1476" s="40"/>
      <c r="S1476" s="40"/>
      <c r="T1476" s="40"/>
      <c r="U1476" s="40"/>
    </row>
    <row r="1477" spans="1:10" ht="30" customHeight="1">
      <c r="A1477" s="147" t="s">
        <v>112</v>
      </c>
      <c r="B1477" s="437">
        <f>C1477*1.25</f>
        <v>6.25</v>
      </c>
      <c r="C1477" s="61">
        <v>5</v>
      </c>
      <c r="D1477" s="61"/>
      <c r="E1477" s="437"/>
      <c r="F1477" s="437"/>
      <c r="G1477" s="437"/>
      <c r="H1477" s="64"/>
      <c r="I1477" s="456"/>
      <c r="J1477" s="9"/>
    </row>
    <row r="1478" spans="1:10" ht="30" customHeight="1">
      <c r="A1478" s="101" t="s">
        <v>43</v>
      </c>
      <c r="B1478" s="437">
        <f>C1478*1.33</f>
        <v>6.65</v>
      </c>
      <c r="C1478" s="61">
        <v>5</v>
      </c>
      <c r="D1478" s="61"/>
      <c r="E1478" s="437"/>
      <c r="F1478" s="240"/>
      <c r="G1478" s="240"/>
      <c r="H1478" s="396"/>
      <c r="I1478" s="457"/>
      <c r="J1478" s="9"/>
    </row>
    <row r="1479" spans="1:11" ht="30" customHeight="1">
      <c r="A1479" s="147" t="s">
        <v>51</v>
      </c>
      <c r="B1479" s="64">
        <f>C1479*1.19</f>
        <v>4.76</v>
      </c>
      <c r="C1479" s="61">
        <v>4</v>
      </c>
      <c r="D1479" s="61"/>
      <c r="E1479" s="437"/>
      <c r="F1479" s="240"/>
      <c r="G1479" s="240"/>
      <c r="H1479" s="396"/>
      <c r="I1479" s="458"/>
      <c r="J1479" s="9"/>
      <c r="K1479" s="80" t="s">
        <v>129</v>
      </c>
    </row>
    <row r="1480" spans="1:12" ht="30" customHeight="1">
      <c r="A1480" s="89" t="s">
        <v>83</v>
      </c>
      <c r="B1480" s="61">
        <v>1.5</v>
      </c>
      <c r="C1480" s="61">
        <v>1.5</v>
      </c>
      <c r="D1480" s="61"/>
      <c r="E1480" s="437"/>
      <c r="F1480" s="240"/>
      <c r="G1480" s="240"/>
      <c r="H1480" s="396"/>
      <c r="I1480" s="456"/>
      <c r="J1480" s="9"/>
      <c r="K1480" s="27" t="s">
        <v>34</v>
      </c>
      <c r="L1480" s="80">
        <f>+D1601</f>
        <v>30</v>
      </c>
    </row>
    <row r="1481" spans="1:12" ht="30" customHeight="1">
      <c r="A1481" s="147" t="s">
        <v>54</v>
      </c>
      <c r="B1481" s="437">
        <v>1.3</v>
      </c>
      <c r="C1481" s="437">
        <v>1.3</v>
      </c>
      <c r="D1481" s="61"/>
      <c r="E1481" s="437"/>
      <c r="F1481" s="240"/>
      <c r="G1481" s="240"/>
      <c r="H1481" s="396"/>
      <c r="I1481" s="456"/>
      <c r="J1481" s="9"/>
      <c r="K1481" s="28" t="s">
        <v>35</v>
      </c>
      <c r="L1481" s="82">
        <f>B1503+D1531+D1603+C1556+C1512+C1517</f>
        <v>126</v>
      </c>
    </row>
    <row r="1482" spans="1:12" ht="30" customHeight="1">
      <c r="A1482" s="147" t="s">
        <v>39</v>
      </c>
      <c r="B1482" s="61">
        <v>1.5</v>
      </c>
      <c r="C1482" s="61">
        <v>1.5</v>
      </c>
      <c r="D1482" s="61"/>
      <c r="E1482" s="437"/>
      <c r="F1482" s="240"/>
      <c r="G1482" s="240"/>
      <c r="H1482" s="396"/>
      <c r="I1482" s="459"/>
      <c r="J1482" s="9"/>
      <c r="K1482" s="28" t="s">
        <v>65</v>
      </c>
      <c r="L1482" s="82">
        <f>C1591+C1564</f>
        <v>5</v>
      </c>
    </row>
    <row r="1483" spans="1:12" ht="30" customHeight="1">
      <c r="A1483" s="677" t="s">
        <v>230</v>
      </c>
      <c r="B1483" s="677"/>
      <c r="C1483" s="677"/>
      <c r="D1483" s="224">
        <v>100</v>
      </c>
      <c r="E1483" s="63">
        <v>2</v>
      </c>
      <c r="F1483" s="63">
        <v>2.9</v>
      </c>
      <c r="G1483" s="63">
        <v>13.3</v>
      </c>
      <c r="H1483" s="105">
        <f>E1483*4+F1483*9+G1483*4</f>
        <v>87.3</v>
      </c>
      <c r="I1483" s="310" t="s">
        <v>231</v>
      </c>
      <c r="J1483" s="9"/>
      <c r="K1483" s="29" t="s">
        <v>66</v>
      </c>
      <c r="L1483" s="82">
        <f>C1545</f>
        <v>5</v>
      </c>
    </row>
    <row r="1484" spans="1:21" ht="30" customHeight="1">
      <c r="A1484" s="389" t="s">
        <v>47</v>
      </c>
      <c r="B1484" s="133">
        <f>C1484*1.33</f>
        <v>113.05000000000001</v>
      </c>
      <c r="C1484" s="133">
        <v>85</v>
      </c>
      <c r="D1484" s="219"/>
      <c r="E1484" s="226"/>
      <c r="F1484" s="226"/>
      <c r="G1484" s="226"/>
      <c r="H1484" s="133"/>
      <c r="I1484" s="307"/>
      <c r="J1484" s="9"/>
      <c r="K1484" s="29" t="s">
        <v>59</v>
      </c>
      <c r="L1484" s="82"/>
      <c r="S1484" s="83"/>
      <c r="T1484" s="83"/>
      <c r="U1484" s="83"/>
    </row>
    <row r="1485" spans="1:12" ht="30" customHeight="1">
      <c r="A1485" s="389" t="s">
        <v>48</v>
      </c>
      <c r="B1485" s="133">
        <f>C1485*1.43</f>
        <v>121.55</v>
      </c>
      <c r="C1485" s="133">
        <v>85</v>
      </c>
      <c r="D1485" s="219"/>
      <c r="E1485" s="226"/>
      <c r="F1485" s="226"/>
      <c r="G1485" s="226"/>
      <c r="H1485" s="133"/>
      <c r="I1485" s="307"/>
      <c r="J1485" s="9"/>
      <c r="K1485" s="28" t="s">
        <v>22</v>
      </c>
      <c r="L1485" s="82">
        <f>C1541+C1521+C1581</f>
        <v>359</v>
      </c>
    </row>
    <row r="1486" spans="1:12" ht="30" customHeight="1">
      <c r="A1486" s="389" t="s">
        <v>49</v>
      </c>
      <c r="B1486" s="133">
        <f>C1486*1.54</f>
        <v>130.9</v>
      </c>
      <c r="C1486" s="133">
        <v>85</v>
      </c>
      <c r="D1486" s="219"/>
      <c r="E1486" s="226"/>
      <c r="F1486" s="226"/>
      <c r="G1486" s="226"/>
      <c r="H1486" s="133"/>
      <c r="I1486" s="307"/>
      <c r="J1486" s="9"/>
      <c r="K1486" s="28" t="s">
        <v>24</v>
      </c>
      <c r="L1486" s="82">
        <f>+C1535++C1549+C1547+C1546+++C1559+C1585+C1587+C1590+C1592+C1594+C1514+C1515</f>
        <v>223.3</v>
      </c>
    </row>
    <row r="1487" spans="1:12" ht="30" customHeight="1">
      <c r="A1487" s="389" t="s">
        <v>50</v>
      </c>
      <c r="B1487" s="133">
        <f>C1487*1.67</f>
        <v>141.95</v>
      </c>
      <c r="C1487" s="133">
        <v>85</v>
      </c>
      <c r="D1487" s="219"/>
      <c r="E1487" s="226"/>
      <c r="F1487" s="226"/>
      <c r="G1487" s="226"/>
      <c r="H1487" s="133"/>
      <c r="I1487" s="307"/>
      <c r="J1487" s="9"/>
      <c r="K1487" s="28" t="s">
        <v>21</v>
      </c>
      <c r="L1487" s="82">
        <f>C1529</f>
        <v>12</v>
      </c>
    </row>
    <row r="1488" spans="1:14" ht="30" customHeight="1">
      <c r="A1488" s="389" t="s">
        <v>63</v>
      </c>
      <c r="B1488" s="401">
        <v>16</v>
      </c>
      <c r="C1488" s="401">
        <v>16</v>
      </c>
      <c r="D1488" s="219"/>
      <c r="E1488" s="226"/>
      <c r="F1488" s="226"/>
      <c r="G1488" s="226"/>
      <c r="H1488" s="133"/>
      <c r="I1488" s="307"/>
      <c r="J1488" s="9"/>
      <c r="K1488" s="28" t="s">
        <v>25</v>
      </c>
      <c r="L1488" s="82"/>
      <c r="N1488" s="66"/>
    </row>
    <row r="1489" spans="1:14" ht="30" customHeight="1">
      <c r="A1489" s="438" t="s">
        <v>70</v>
      </c>
      <c r="B1489" s="439">
        <v>3</v>
      </c>
      <c r="C1489" s="439">
        <v>3</v>
      </c>
      <c r="D1489" s="226"/>
      <c r="E1489" s="226"/>
      <c r="F1489" s="226"/>
      <c r="G1489" s="226"/>
      <c r="H1489" s="133"/>
      <c r="I1489" s="307"/>
      <c r="J1489" s="9"/>
      <c r="K1489" s="28" t="s">
        <v>61</v>
      </c>
      <c r="L1489" s="80">
        <f>C1596</f>
        <v>200</v>
      </c>
      <c r="N1489" s="75"/>
    </row>
    <row r="1490" spans="1:14" ht="30" customHeight="1">
      <c r="A1490" s="701" t="s">
        <v>343</v>
      </c>
      <c r="B1490" s="701"/>
      <c r="C1490" s="701"/>
      <c r="D1490" s="4">
        <v>200</v>
      </c>
      <c r="E1490" s="222">
        <v>1</v>
      </c>
      <c r="F1490" s="222">
        <v>0</v>
      </c>
      <c r="G1490" s="222">
        <v>31.2</v>
      </c>
      <c r="H1490" s="238">
        <f>G1490*4+F1490*9+E1490*4</f>
        <v>128.8</v>
      </c>
      <c r="I1490" s="302" t="s">
        <v>236</v>
      </c>
      <c r="J1490" s="9"/>
      <c r="K1490" s="28" t="s">
        <v>20</v>
      </c>
      <c r="L1490" s="82">
        <f>C1530++C1595</f>
        <v>13.5</v>
      </c>
      <c r="N1490" s="75"/>
    </row>
    <row r="1491" spans="1:14" ht="30" customHeight="1">
      <c r="A1491" s="20" t="s">
        <v>342</v>
      </c>
      <c r="B1491" s="22">
        <v>25</v>
      </c>
      <c r="C1491" s="22">
        <v>25</v>
      </c>
      <c r="D1491" s="22"/>
      <c r="E1491" s="43"/>
      <c r="F1491" s="43"/>
      <c r="G1491" s="43"/>
      <c r="H1491" s="26"/>
      <c r="I1491" s="43"/>
      <c r="J1491" s="9"/>
      <c r="K1491" s="28" t="s">
        <v>26</v>
      </c>
      <c r="L1491" s="82"/>
      <c r="N1491" s="75"/>
    </row>
    <row r="1492" spans="1:14" ht="30" customHeight="1">
      <c r="A1492" s="20" t="s">
        <v>39</v>
      </c>
      <c r="B1492" s="22">
        <v>15</v>
      </c>
      <c r="C1492" s="22">
        <v>15</v>
      </c>
      <c r="D1492" s="22"/>
      <c r="E1492" s="43"/>
      <c r="F1492" s="43"/>
      <c r="G1492" s="43"/>
      <c r="H1492" s="26"/>
      <c r="I1492" s="43"/>
      <c r="J1492" s="9"/>
      <c r="K1492" s="27" t="s">
        <v>79</v>
      </c>
      <c r="N1492" s="75"/>
    </row>
    <row r="1493" spans="1:14" ht="30" customHeight="1">
      <c r="A1493" s="674" t="s">
        <v>34</v>
      </c>
      <c r="B1493" s="674"/>
      <c r="C1493" s="674"/>
      <c r="D1493" s="1">
        <v>60</v>
      </c>
      <c r="E1493" s="2">
        <v>2.82</v>
      </c>
      <c r="F1493" s="2">
        <v>0.6</v>
      </c>
      <c r="G1493" s="2">
        <v>26.22</v>
      </c>
      <c r="H1493" s="3">
        <v>121.56000000000002</v>
      </c>
      <c r="I1493" s="294"/>
      <c r="J1493" s="9"/>
      <c r="K1493" s="28" t="s">
        <v>27</v>
      </c>
      <c r="L1493" s="81">
        <f>C1528</f>
        <v>2</v>
      </c>
      <c r="N1493" s="75"/>
    </row>
    <row r="1494" spans="1:21" ht="30" customHeight="1">
      <c r="A1494" s="675" t="s">
        <v>145</v>
      </c>
      <c r="B1494" s="675"/>
      <c r="C1494" s="675"/>
      <c r="D1494" s="1">
        <v>60</v>
      </c>
      <c r="E1494" s="2"/>
      <c r="F1494" s="2"/>
      <c r="G1494" s="2"/>
      <c r="H1494" s="3"/>
      <c r="I1494" s="294"/>
      <c r="J1494" s="36"/>
      <c r="K1494" s="27" t="s">
        <v>199</v>
      </c>
      <c r="L1494" s="262"/>
      <c r="N1494" s="75"/>
      <c r="S1494" s="40"/>
      <c r="T1494" s="40"/>
      <c r="U1494" s="40"/>
    </row>
    <row r="1495" spans="1:14" ht="30" customHeight="1">
      <c r="A1495" s="674" t="s">
        <v>74</v>
      </c>
      <c r="B1495" s="674"/>
      <c r="C1495" s="674"/>
      <c r="D1495" s="3">
        <v>60</v>
      </c>
      <c r="E1495" s="2">
        <v>3</v>
      </c>
      <c r="F1495" s="2">
        <v>0.8400000000000001</v>
      </c>
      <c r="G1495" s="2">
        <v>24.299999999999997</v>
      </c>
      <c r="H1495" s="3">
        <v>116.76</v>
      </c>
      <c r="I1495" s="294"/>
      <c r="J1495" s="9"/>
      <c r="K1495" s="28" t="s">
        <v>67</v>
      </c>
      <c r="L1495" s="82">
        <f>C1553+C1554+C1540</f>
        <v>70</v>
      </c>
      <c r="N1495" s="75"/>
    </row>
    <row r="1496" spans="1:14" ht="30" customHeight="1">
      <c r="A1496" s="675" t="s">
        <v>72</v>
      </c>
      <c r="B1496" s="675"/>
      <c r="C1496" s="675"/>
      <c r="D1496" s="1">
        <v>60</v>
      </c>
      <c r="E1496" s="2"/>
      <c r="F1496" s="2"/>
      <c r="G1496" s="2"/>
      <c r="H1496" s="3"/>
      <c r="I1496" s="294"/>
      <c r="J1496" s="9"/>
      <c r="K1496" s="27" t="s">
        <v>200</v>
      </c>
      <c r="L1496" s="263"/>
      <c r="N1496" s="75"/>
    </row>
    <row r="1497" spans="1:14" ht="30" customHeight="1">
      <c r="A1497" s="698" t="s">
        <v>202</v>
      </c>
      <c r="B1497" s="698"/>
      <c r="C1497" s="698"/>
      <c r="D1497" s="266"/>
      <c r="E1497" s="235">
        <f>E1388+E1420</f>
        <v>52.864444444444445</v>
      </c>
      <c r="F1497" s="235">
        <f>F1388+F1420</f>
        <v>48.50888888888889</v>
      </c>
      <c r="G1497" s="235">
        <f>G1388+G1420</f>
        <v>208.99555555555554</v>
      </c>
      <c r="H1497" s="267">
        <f>H1388+H1420</f>
        <v>1483.24</v>
      </c>
      <c r="I1497" s="302"/>
      <c r="J1497" s="9"/>
      <c r="K1497" s="27" t="s">
        <v>62</v>
      </c>
      <c r="L1497" s="82"/>
      <c r="N1497" s="75"/>
    </row>
    <row r="1498" spans="1:21" ht="30" customHeight="1">
      <c r="A1498" s="706" t="s">
        <v>129</v>
      </c>
      <c r="B1498" s="706"/>
      <c r="C1498" s="706"/>
      <c r="D1498" s="706"/>
      <c r="E1498" s="706"/>
      <c r="F1498" s="706"/>
      <c r="G1498" s="706"/>
      <c r="H1498" s="707"/>
      <c r="I1498" s="706"/>
      <c r="J1498" s="9"/>
      <c r="K1498" s="28" t="s">
        <v>28</v>
      </c>
      <c r="L1498" s="82">
        <f>C1507</f>
        <v>101</v>
      </c>
      <c r="N1498" s="75"/>
      <c r="S1498" s="83"/>
      <c r="T1498" s="83"/>
      <c r="U1498" s="83"/>
    </row>
    <row r="1499" spans="1:12" ht="30" customHeight="1">
      <c r="A1499" s="693" t="s">
        <v>1</v>
      </c>
      <c r="B1499" s="676" t="s">
        <v>2</v>
      </c>
      <c r="C1499" s="676" t="s">
        <v>3</v>
      </c>
      <c r="D1499" s="676" t="s">
        <v>4</v>
      </c>
      <c r="E1499" s="676"/>
      <c r="F1499" s="676"/>
      <c r="G1499" s="676"/>
      <c r="H1499" s="676"/>
      <c r="I1499" s="682" t="s">
        <v>201</v>
      </c>
      <c r="J1499" s="9"/>
      <c r="K1499" s="30" t="s">
        <v>29</v>
      </c>
      <c r="L1499" s="82">
        <f>C1525+C1557+C1513</f>
        <v>58</v>
      </c>
    </row>
    <row r="1500" spans="1:12" ht="30" customHeight="1">
      <c r="A1500" s="693"/>
      <c r="B1500" s="676"/>
      <c r="C1500" s="676"/>
      <c r="D1500" s="6" t="s">
        <v>5</v>
      </c>
      <c r="E1500" s="62" t="s">
        <v>6</v>
      </c>
      <c r="F1500" s="62" t="s">
        <v>7</v>
      </c>
      <c r="G1500" s="62" t="s">
        <v>8</v>
      </c>
      <c r="H1500" s="69" t="s">
        <v>9</v>
      </c>
      <c r="I1500" s="682"/>
      <c r="J1500" s="9"/>
      <c r="K1500" s="72" t="s">
        <v>85</v>
      </c>
      <c r="L1500" s="82"/>
    </row>
    <row r="1501" spans="1:12" ht="30" customHeight="1">
      <c r="A1501" s="690" t="s">
        <v>10</v>
      </c>
      <c r="B1501" s="690"/>
      <c r="C1501" s="690"/>
      <c r="D1501" s="647">
        <f>D1502+125+D1520+D1527</f>
        <v>550</v>
      </c>
      <c r="E1501" s="71">
        <f>E1502+E1506+E1520+E1527+E1531</f>
        <v>28.5</v>
      </c>
      <c r="F1501" s="71">
        <f>F1502+F1506+F1520+F1527+F1531</f>
        <v>25.979999999999997</v>
      </c>
      <c r="G1501" s="71">
        <f>G1502+G1506+G1520+G1527+G1531</f>
        <v>73.1</v>
      </c>
      <c r="H1501" s="71">
        <f>H1502+H1506+H1520+H1527+H1531</f>
        <v>640.2199999999999</v>
      </c>
      <c r="I1501" s="293"/>
      <c r="J1501" s="9"/>
      <c r="K1501" s="27" t="s">
        <v>30</v>
      </c>
      <c r="L1501" s="82"/>
    </row>
    <row r="1502" spans="1:12" ht="30" customHeight="1">
      <c r="A1502" s="554" t="s">
        <v>497</v>
      </c>
      <c r="B1502" s="554"/>
      <c r="C1502" s="554"/>
      <c r="D1502" s="648" t="s">
        <v>561</v>
      </c>
      <c r="E1502" s="63">
        <v>6.8</v>
      </c>
      <c r="F1502" s="63">
        <v>8.1</v>
      </c>
      <c r="G1502" s="63">
        <v>11.9</v>
      </c>
      <c r="H1502" s="3">
        <f>E1502*4+F1502*9+G1502*4</f>
        <v>147.7</v>
      </c>
      <c r="I1502" s="294" t="s">
        <v>498</v>
      </c>
      <c r="J1502" s="9"/>
      <c r="K1502" s="27" t="s">
        <v>31</v>
      </c>
      <c r="L1502" s="82">
        <f>C1551</f>
        <v>5</v>
      </c>
    </row>
    <row r="1503" spans="1:12" ht="30" customHeight="1">
      <c r="A1503" s="101" t="s">
        <v>393</v>
      </c>
      <c r="B1503" s="61">
        <v>20</v>
      </c>
      <c r="C1503" s="61">
        <v>20</v>
      </c>
      <c r="D1503" s="1"/>
      <c r="E1503" s="2"/>
      <c r="F1503" s="2"/>
      <c r="G1503" s="2"/>
      <c r="H1503" s="3"/>
      <c r="I1503" s="294"/>
      <c r="J1503" s="9"/>
      <c r="K1503" s="28" t="s">
        <v>68</v>
      </c>
      <c r="L1503" s="82">
        <f>C1505</f>
        <v>20</v>
      </c>
    </row>
    <row r="1504" spans="1:12" ht="30.75" customHeight="1">
      <c r="A1504" s="59" t="s">
        <v>70</v>
      </c>
      <c r="B1504" s="23">
        <v>5</v>
      </c>
      <c r="C1504" s="23">
        <v>5</v>
      </c>
      <c r="D1504" s="22"/>
      <c r="E1504" s="63"/>
      <c r="F1504" s="224"/>
      <c r="G1504" s="63"/>
      <c r="H1504" s="3"/>
      <c r="I1504" s="304"/>
      <c r="J1504" s="9"/>
      <c r="K1504" s="27" t="s">
        <v>32</v>
      </c>
      <c r="L1504" s="81">
        <f>+C1550+B1526+C1504+C1560+C1519</f>
        <v>26</v>
      </c>
    </row>
    <row r="1505" spans="1:12" ht="30.75" customHeight="1">
      <c r="A1505" s="89" t="s">
        <v>58</v>
      </c>
      <c r="B1505" s="57">
        <v>21</v>
      </c>
      <c r="C1505" s="58">
        <v>20</v>
      </c>
      <c r="D1505" s="218"/>
      <c r="E1505" s="225"/>
      <c r="F1505" s="225"/>
      <c r="G1505" s="225"/>
      <c r="H1505" s="233"/>
      <c r="I1505" s="296"/>
      <c r="J1505" s="9"/>
      <c r="K1505" s="27" t="s">
        <v>23</v>
      </c>
      <c r="L1505" s="82">
        <f>C1518+C1537+B1565+C1588</f>
        <v>19</v>
      </c>
    </row>
    <row r="1506" spans="1:12" ht="30.75" customHeight="1">
      <c r="A1506" s="675" t="s">
        <v>597</v>
      </c>
      <c r="B1506" s="675"/>
      <c r="C1506" s="675"/>
      <c r="D1506" s="1" t="s">
        <v>440</v>
      </c>
      <c r="E1506" s="2">
        <v>16.5</v>
      </c>
      <c r="F1506" s="2">
        <v>11.7</v>
      </c>
      <c r="G1506" s="2">
        <v>14.1</v>
      </c>
      <c r="H1506" s="3">
        <f>G1506*4+F1506*9+E1506*4</f>
        <v>227.7</v>
      </c>
      <c r="I1506" s="297" t="s">
        <v>523</v>
      </c>
      <c r="J1506" s="9"/>
      <c r="K1506" s="28" t="s">
        <v>33</v>
      </c>
      <c r="L1506" s="82">
        <f>+C1562+C1563+C1516</f>
        <v>23</v>
      </c>
    </row>
    <row r="1507" spans="1:12" ht="30.75" customHeight="1">
      <c r="A1507" s="54" t="s">
        <v>119</v>
      </c>
      <c r="B1507" s="159">
        <f>C1507*1.35</f>
        <v>136.35000000000002</v>
      </c>
      <c r="C1507" s="45">
        <v>101</v>
      </c>
      <c r="D1507" s="26"/>
      <c r="E1507" s="43"/>
      <c r="F1507" s="43"/>
      <c r="G1507" s="43"/>
      <c r="H1507" s="26"/>
      <c r="I1507" s="297"/>
      <c r="J1507" s="9"/>
      <c r="K1507" s="28" t="s">
        <v>78</v>
      </c>
      <c r="L1507" s="81"/>
    </row>
    <row r="1508" spans="1:12" ht="30.75" customHeight="1">
      <c r="A1508" s="73" t="s">
        <v>596</v>
      </c>
      <c r="B1508" s="168">
        <f>C1508*1.5</f>
        <v>151.5</v>
      </c>
      <c r="C1508" s="45">
        <v>101</v>
      </c>
      <c r="D1508" s="26"/>
      <c r="E1508" s="2"/>
      <c r="F1508" s="2"/>
      <c r="G1508" s="2"/>
      <c r="H1508" s="3"/>
      <c r="I1508" s="310"/>
      <c r="J1508" s="9"/>
      <c r="K1508" s="264" t="s">
        <v>193</v>
      </c>
      <c r="L1508" s="40"/>
    </row>
    <row r="1509" spans="1:10" ht="30.75" customHeight="1">
      <c r="A1509" s="73" t="s">
        <v>394</v>
      </c>
      <c r="B1509" s="464">
        <f>C1509*1.71</f>
        <v>172.71</v>
      </c>
      <c r="C1509" s="45">
        <v>101</v>
      </c>
      <c r="D1509" s="26"/>
      <c r="E1509" s="2"/>
      <c r="F1509" s="2"/>
      <c r="G1509" s="2"/>
      <c r="H1509" s="465"/>
      <c r="I1509" s="297"/>
      <c r="J1509" s="9"/>
    </row>
    <row r="1510" spans="1:10" ht="30.75" customHeight="1">
      <c r="A1510" s="54" t="s">
        <v>325</v>
      </c>
      <c r="B1510" s="126">
        <f>C1510*1.82</f>
        <v>183.82</v>
      </c>
      <c r="C1510" s="45">
        <v>101</v>
      </c>
      <c r="D1510" s="26"/>
      <c r="E1510" s="32"/>
      <c r="F1510" s="32"/>
      <c r="G1510" s="32"/>
      <c r="H1510" s="45"/>
      <c r="I1510" s="32"/>
      <c r="J1510" s="9"/>
    </row>
    <row r="1511" spans="1:10" ht="30.75" customHeight="1">
      <c r="A1511" s="54" t="s">
        <v>429</v>
      </c>
      <c r="B1511" s="37">
        <f>C1511*1.32</f>
        <v>133.32</v>
      </c>
      <c r="C1511" s="45">
        <v>101</v>
      </c>
      <c r="D1511" s="26"/>
      <c r="E1511" s="32"/>
      <c r="F1511" s="32"/>
      <c r="G1511" s="32"/>
      <c r="H1511" s="45"/>
      <c r="I1511" s="466"/>
      <c r="J1511" s="9"/>
    </row>
    <row r="1512" spans="1:10" ht="30.75" customHeight="1">
      <c r="A1512" s="25" t="s">
        <v>42</v>
      </c>
      <c r="B1512" s="107">
        <v>17</v>
      </c>
      <c r="C1512" s="45">
        <v>17</v>
      </c>
      <c r="D1512" s="26"/>
      <c r="E1512" s="43"/>
      <c r="F1512" s="43"/>
      <c r="G1512" s="43"/>
      <c r="H1512" s="26"/>
      <c r="I1512" s="297"/>
      <c r="J1512" s="9"/>
    </row>
    <row r="1513" spans="1:10" ht="30.75" customHeight="1">
      <c r="A1513" s="25" t="s">
        <v>63</v>
      </c>
      <c r="B1513" s="107">
        <v>12</v>
      </c>
      <c r="C1513" s="45">
        <v>12</v>
      </c>
      <c r="D1513" s="26"/>
      <c r="E1513" s="43"/>
      <c r="F1513" s="43"/>
      <c r="G1513" s="43"/>
      <c r="H1513" s="26"/>
      <c r="I1513" s="297"/>
      <c r="J1513" s="9"/>
    </row>
    <row r="1514" spans="1:10" ht="30.75" customHeight="1">
      <c r="A1514" s="115" t="s">
        <v>51</v>
      </c>
      <c r="B1514" s="26">
        <f>C1514*1.19</f>
        <v>5.949999999999999</v>
      </c>
      <c r="C1514" s="24">
        <v>5</v>
      </c>
      <c r="D1514" s="398"/>
      <c r="E1514" s="603"/>
      <c r="F1514" s="603"/>
      <c r="G1514" s="603"/>
      <c r="H1514" s="604"/>
      <c r="I1514" s="603"/>
      <c r="J1514" s="9"/>
    </row>
    <row r="1515" spans="1:10" ht="30.75" customHeight="1">
      <c r="A1515" s="59" t="s">
        <v>525</v>
      </c>
      <c r="B1515" s="32">
        <f>C1515*1.28</f>
        <v>0.384</v>
      </c>
      <c r="C1515" s="32">
        <v>0.3</v>
      </c>
      <c r="D1515" s="26"/>
      <c r="E1515" s="43"/>
      <c r="F1515" s="43"/>
      <c r="G1515" s="43"/>
      <c r="H1515" s="26"/>
      <c r="I1515" s="297"/>
      <c r="J1515" s="9"/>
    </row>
    <row r="1516" spans="1:18" ht="30.75" customHeight="1">
      <c r="A1516" s="25" t="s">
        <v>91</v>
      </c>
      <c r="B1516" s="49">
        <v>7</v>
      </c>
      <c r="C1516" s="26">
        <v>7</v>
      </c>
      <c r="D1516" s="26"/>
      <c r="E1516" s="43"/>
      <c r="F1516" s="43"/>
      <c r="G1516" s="43"/>
      <c r="H1516" s="26"/>
      <c r="I1516" s="297"/>
      <c r="J1516" s="9"/>
      <c r="O1516" s="66"/>
      <c r="P1516" s="66"/>
      <c r="Q1516" s="66"/>
      <c r="R1516" s="66"/>
    </row>
    <row r="1517" spans="1:18" ht="30.75" customHeight="1">
      <c r="A1517" s="20" t="s">
        <v>97</v>
      </c>
      <c r="B1517" s="49">
        <v>8</v>
      </c>
      <c r="C1517" s="26">
        <v>8</v>
      </c>
      <c r="D1517" s="26"/>
      <c r="E1517" s="43"/>
      <c r="F1517" s="43"/>
      <c r="G1517" s="43"/>
      <c r="H1517" s="26"/>
      <c r="I1517" s="297"/>
      <c r="J1517" s="9"/>
      <c r="O1517" s="96"/>
      <c r="P1517" s="96"/>
      <c r="Q1517" s="96"/>
      <c r="R1517" s="96"/>
    </row>
    <row r="1518" spans="1:18" ht="30.75" customHeight="1">
      <c r="A1518" s="20" t="s">
        <v>44</v>
      </c>
      <c r="B1518" s="26">
        <v>3</v>
      </c>
      <c r="C1518" s="26">
        <v>3</v>
      </c>
      <c r="D1518" s="22"/>
      <c r="E1518" s="32"/>
      <c r="F1518" s="32"/>
      <c r="G1518" s="21"/>
      <c r="H1518" s="238"/>
      <c r="I1518" s="423"/>
      <c r="J1518" s="9"/>
      <c r="O1518" s="74"/>
      <c r="P1518" s="96"/>
      <c r="Q1518" s="96"/>
      <c r="R1518" s="96"/>
    </row>
    <row r="1519" spans="1:18" ht="30.75" customHeight="1">
      <c r="A1519" s="59" t="s">
        <v>70</v>
      </c>
      <c r="B1519" s="23">
        <v>5</v>
      </c>
      <c r="C1519" s="23">
        <v>5</v>
      </c>
      <c r="D1519" s="22"/>
      <c r="E1519" s="63"/>
      <c r="F1519" s="224"/>
      <c r="G1519" s="63"/>
      <c r="H1519" s="3"/>
      <c r="I1519" s="304"/>
      <c r="J1519" s="36"/>
      <c r="O1519" s="74"/>
      <c r="P1519" s="96"/>
      <c r="Q1519" s="96"/>
      <c r="R1519" s="96"/>
    </row>
    <row r="1520" spans="1:18" ht="30.75" customHeight="1">
      <c r="A1520" s="677" t="s">
        <v>263</v>
      </c>
      <c r="B1520" s="677"/>
      <c r="C1520" s="677"/>
      <c r="D1520" s="1">
        <v>180</v>
      </c>
      <c r="E1520" s="63">
        <v>3.9</v>
      </c>
      <c r="F1520" s="63">
        <v>5.9</v>
      </c>
      <c r="G1520" s="63">
        <v>26.7</v>
      </c>
      <c r="H1520" s="3">
        <f>E1520*4+F1520*9+G1520*4</f>
        <v>175.5</v>
      </c>
      <c r="I1520" s="294" t="s">
        <v>264</v>
      </c>
      <c r="J1520" s="9"/>
      <c r="O1520" s="74"/>
      <c r="P1520" s="96"/>
      <c r="Q1520" s="96"/>
      <c r="R1520" s="96"/>
    </row>
    <row r="1521" spans="1:21" ht="30" customHeight="1">
      <c r="A1521" s="20" t="s">
        <v>47</v>
      </c>
      <c r="B1521" s="45">
        <f>C1521*1.33</f>
        <v>204.82000000000002</v>
      </c>
      <c r="C1521" s="23">
        <v>154</v>
      </c>
      <c r="D1521" s="22"/>
      <c r="E1521" s="43"/>
      <c r="F1521" s="43"/>
      <c r="G1521" s="43"/>
      <c r="H1521" s="26"/>
      <c r="I1521" s="304"/>
      <c r="J1521" s="9"/>
      <c r="O1521" s="74"/>
      <c r="P1521" s="96"/>
      <c r="Q1521" s="96"/>
      <c r="R1521" s="96"/>
      <c r="S1521" s="40"/>
      <c r="T1521" s="40"/>
      <c r="U1521" s="40"/>
    </row>
    <row r="1522" spans="1:18" ht="30" customHeight="1">
      <c r="A1522" s="53" t="s">
        <v>48</v>
      </c>
      <c r="B1522" s="45">
        <f>C1522*1.43</f>
        <v>220.22</v>
      </c>
      <c r="C1522" s="23">
        <v>154</v>
      </c>
      <c r="D1522" s="22"/>
      <c r="E1522" s="43"/>
      <c r="F1522" s="43"/>
      <c r="G1522" s="43"/>
      <c r="H1522" s="26"/>
      <c r="I1522" s="304"/>
      <c r="J1522" s="9"/>
      <c r="O1522" s="74"/>
      <c r="P1522" s="96"/>
      <c r="Q1522" s="96"/>
      <c r="R1522" s="96"/>
    </row>
    <row r="1523" spans="1:18" ht="30" customHeight="1">
      <c r="A1523" s="20" t="s">
        <v>49</v>
      </c>
      <c r="B1523" s="45">
        <f>C1523*1.54</f>
        <v>237.16</v>
      </c>
      <c r="C1523" s="23">
        <v>154</v>
      </c>
      <c r="D1523" s="22"/>
      <c r="E1523" s="43"/>
      <c r="F1523" s="43"/>
      <c r="G1523" s="43"/>
      <c r="H1523" s="26"/>
      <c r="I1523" s="304"/>
      <c r="J1523" s="9"/>
      <c r="O1523" s="96"/>
      <c r="P1523" s="96"/>
      <c r="Q1523" s="96"/>
      <c r="R1523" s="96"/>
    </row>
    <row r="1524" spans="1:18" ht="30" customHeight="1">
      <c r="A1524" s="20" t="s">
        <v>50</v>
      </c>
      <c r="B1524" s="45">
        <f>C1524*1.67</f>
        <v>257.18</v>
      </c>
      <c r="C1524" s="23">
        <v>154</v>
      </c>
      <c r="D1524" s="22"/>
      <c r="E1524" s="43"/>
      <c r="F1524" s="43"/>
      <c r="G1524" s="43"/>
      <c r="H1524" s="26"/>
      <c r="I1524" s="304"/>
      <c r="J1524" s="9"/>
      <c r="O1524" s="96"/>
      <c r="P1524" s="96"/>
      <c r="Q1524" s="96"/>
      <c r="R1524" s="96"/>
    </row>
    <row r="1525" spans="1:10" ht="30" customHeight="1">
      <c r="A1525" s="53" t="s">
        <v>63</v>
      </c>
      <c r="B1525" s="23">
        <v>29</v>
      </c>
      <c r="C1525" s="23">
        <v>29</v>
      </c>
      <c r="D1525" s="22"/>
      <c r="E1525" s="43"/>
      <c r="F1525" s="43"/>
      <c r="G1525" s="43"/>
      <c r="H1525" s="26"/>
      <c r="I1525" s="304"/>
      <c r="J1525" s="9"/>
    </row>
    <row r="1526" spans="1:18" ht="30" customHeight="1">
      <c r="A1526" s="89" t="s">
        <v>40</v>
      </c>
      <c r="B1526" s="23">
        <v>7</v>
      </c>
      <c r="C1526" s="23">
        <v>7</v>
      </c>
      <c r="D1526" s="43"/>
      <c r="E1526" s="43"/>
      <c r="F1526" s="43"/>
      <c r="G1526" s="43"/>
      <c r="H1526" s="26"/>
      <c r="I1526" s="304"/>
      <c r="J1526" s="9"/>
      <c r="O1526" s="40"/>
      <c r="P1526" s="40"/>
      <c r="Q1526" s="40"/>
      <c r="R1526" s="40"/>
    </row>
    <row r="1527" spans="1:10" ht="30" customHeight="1">
      <c r="A1527" s="671" t="s">
        <v>320</v>
      </c>
      <c r="B1527" s="671"/>
      <c r="C1527" s="671"/>
      <c r="D1527" s="1">
        <v>200</v>
      </c>
      <c r="E1527" s="1">
        <v>0.3</v>
      </c>
      <c r="F1527" s="1">
        <v>0</v>
      </c>
      <c r="G1527" s="1">
        <v>12.3</v>
      </c>
      <c r="H1527" s="3">
        <f>E1527*4+F1527*9+G1527*4</f>
        <v>50.400000000000006</v>
      </c>
      <c r="I1527" s="294" t="s">
        <v>455</v>
      </c>
      <c r="J1527" s="93"/>
    </row>
    <row r="1528" spans="1:10" ht="30" customHeight="1">
      <c r="A1528" s="25" t="s">
        <v>134</v>
      </c>
      <c r="B1528" s="57">
        <v>2</v>
      </c>
      <c r="C1528" s="57">
        <v>2</v>
      </c>
      <c r="D1528" s="433"/>
      <c r="E1528" s="433"/>
      <c r="F1528" s="433"/>
      <c r="G1528" s="433"/>
      <c r="H1528" s="434"/>
      <c r="I1528" s="304"/>
      <c r="J1528" s="10"/>
    </row>
    <row r="1529" spans="1:10" ht="30" customHeight="1">
      <c r="A1529" s="25" t="s">
        <v>472</v>
      </c>
      <c r="B1529" s="38">
        <f>C1529*1.07</f>
        <v>12.84</v>
      </c>
      <c r="C1529" s="57">
        <v>12</v>
      </c>
      <c r="D1529" s="433"/>
      <c r="E1529" s="433"/>
      <c r="F1529" s="433"/>
      <c r="G1529" s="433"/>
      <c r="H1529" s="434"/>
      <c r="I1529" s="304"/>
      <c r="J1529" s="13"/>
    </row>
    <row r="1530" spans="1:10" ht="30" customHeight="1">
      <c r="A1530" s="25" t="s">
        <v>39</v>
      </c>
      <c r="B1530" s="175">
        <v>12</v>
      </c>
      <c r="C1530" s="175">
        <v>12</v>
      </c>
      <c r="D1530" s="433"/>
      <c r="E1530" s="433"/>
      <c r="F1530" s="433"/>
      <c r="G1530" s="433"/>
      <c r="H1530" s="434"/>
      <c r="I1530" s="304"/>
      <c r="J1530" s="93"/>
    </row>
    <row r="1531" spans="1:10" ht="30" customHeight="1">
      <c r="A1531" s="674" t="s">
        <v>74</v>
      </c>
      <c r="B1531" s="674"/>
      <c r="C1531" s="674"/>
      <c r="D1531" s="3">
        <v>20</v>
      </c>
      <c r="E1531" s="2">
        <v>1</v>
      </c>
      <c r="F1531" s="2">
        <v>0.28</v>
      </c>
      <c r="G1531" s="2">
        <v>8.1</v>
      </c>
      <c r="H1531" s="3">
        <f>E1531*4+F1531*9+G1531*4</f>
        <v>38.92</v>
      </c>
      <c r="I1531" s="294"/>
      <c r="J1531" s="93"/>
    </row>
    <row r="1532" spans="1:18" ht="30" customHeight="1">
      <c r="A1532" s="675" t="s">
        <v>72</v>
      </c>
      <c r="B1532" s="675"/>
      <c r="C1532" s="675"/>
      <c r="D1532" s="1">
        <v>20</v>
      </c>
      <c r="E1532" s="2"/>
      <c r="F1532" s="2"/>
      <c r="G1532" s="2"/>
      <c r="H1532" s="3"/>
      <c r="I1532" s="294"/>
      <c r="J1532" s="41"/>
      <c r="N1532" s="95"/>
      <c r="O1532" s="95"/>
      <c r="P1532" s="95"/>
      <c r="Q1532" s="95"/>
      <c r="R1532" s="95"/>
    </row>
    <row r="1533" spans="1:10" ht="30" customHeight="1">
      <c r="A1533" s="690" t="s">
        <v>205</v>
      </c>
      <c r="B1533" s="690"/>
      <c r="C1533" s="690"/>
      <c r="D1533" s="243">
        <f>D1534+265+D1552+D1580+D1596</f>
        <v>845</v>
      </c>
      <c r="E1533" s="71">
        <f>E1534+E1538+E1552+E1580+E1596+E1601+E1603</f>
        <v>27.709999999999997</v>
      </c>
      <c r="F1533" s="71">
        <f>F1534+F1538+F1552+F1580+F1596+F1601+F1603</f>
        <v>35.400000000000006</v>
      </c>
      <c r="G1533" s="71">
        <f>G1534+G1538+G1552+G1580+G1596+G1601+G1603</f>
        <v>102.2</v>
      </c>
      <c r="H1533" s="265">
        <f>H1534+H1538+H1552+H1580+H1596+H1601+H1603</f>
        <v>838.2399999999999</v>
      </c>
      <c r="I1533" s="293"/>
      <c r="J1533" s="91"/>
    </row>
    <row r="1534" spans="1:10" ht="30" customHeight="1">
      <c r="A1534" s="684" t="s">
        <v>252</v>
      </c>
      <c r="B1534" s="684"/>
      <c r="C1534" s="684"/>
      <c r="D1534" s="1">
        <v>100</v>
      </c>
      <c r="E1534" s="2">
        <v>1</v>
      </c>
      <c r="F1534" s="2">
        <v>5.1</v>
      </c>
      <c r="G1534" s="2">
        <v>3.5</v>
      </c>
      <c r="H1534" s="3">
        <f>E1534*4+F1534*9+G1534*4</f>
        <v>63.9</v>
      </c>
      <c r="I1534" s="294" t="s">
        <v>253</v>
      </c>
      <c r="J1534" s="9"/>
    </row>
    <row r="1535" spans="1:10" ht="30" customHeight="1">
      <c r="A1535" s="25" t="s">
        <v>75</v>
      </c>
      <c r="B1535" s="49">
        <f>C1535*1.02</f>
        <v>96.9</v>
      </c>
      <c r="C1535" s="149">
        <v>95</v>
      </c>
      <c r="D1535" s="164"/>
      <c r="E1535" s="2"/>
      <c r="F1535" s="2"/>
      <c r="G1535" s="2"/>
      <c r="H1535" s="3"/>
      <c r="I1535" s="294"/>
      <c r="J1535" s="9"/>
    </row>
    <row r="1536" spans="1:10" ht="30" customHeight="1">
      <c r="A1536" s="102" t="s">
        <v>89</v>
      </c>
      <c r="B1536" s="157">
        <f>C1536*1.18</f>
        <v>112.1</v>
      </c>
      <c r="C1536" s="149">
        <v>95</v>
      </c>
      <c r="D1536" s="164"/>
      <c r="E1536" s="2"/>
      <c r="F1536" s="2"/>
      <c r="G1536" s="2"/>
      <c r="H1536" s="3"/>
      <c r="I1536" s="294"/>
      <c r="J1536" s="9"/>
    </row>
    <row r="1537" spans="1:10" ht="30" customHeight="1">
      <c r="A1537" s="165" t="s">
        <v>118</v>
      </c>
      <c r="B1537" s="166">
        <v>5</v>
      </c>
      <c r="C1537" s="166">
        <v>5</v>
      </c>
      <c r="D1537" s="164"/>
      <c r="E1537" s="2"/>
      <c r="F1537" s="2"/>
      <c r="G1537" s="2"/>
      <c r="H1537" s="3"/>
      <c r="I1537" s="304"/>
      <c r="J1537" s="9"/>
    </row>
    <row r="1538" spans="1:18" ht="30" customHeight="1">
      <c r="A1538" s="691" t="s">
        <v>375</v>
      </c>
      <c r="B1538" s="700"/>
      <c r="C1538" s="700"/>
      <c r="D1538" s="60" t="s">
        <v>206</v>
      </c>
      <c r="E1538" s="632">
        <v>4.7</v>
      </c>
      <c r="F1538" s="632">
        <v>5.2</v>
      </c>
      <c r="G1538" s="632">
        <v>14.4</v>
      </c>
      <c r="H1538" s="238">
        <f>G1538*4+F1538*9+E1538*4</f>
        <v>123.2</v>
      </c>
      <c r="I1538" s="300" t="s">
        <v>346</v>
      </c>
      <c r="J1538" s="9"/>
      <c r="N1538" s="83"/>
      <c r="O1538" s="83"/>
      <c r="P1538" s="83"/>
      <c r="Q1538" s="83"/>
      <c r="R1538" s="83"/>
    </row>
    <row r="1539" spans="1:11" ht="30" customHeight="1">
      <c r="A1539" s="171" t="s">
        <v>45</v>
      </c>
      <c r="B1539" s="126">
        <f>C1539*1.36</f>
        <v>21.76</v>
      </c>
      <c r="C1539" s="401">
        <v>16</v>
      </c>
      <c r="D1539" s="398"/>
      <c r="E1539" s="603"/>
      <c r="F1539" s="603"/>
      <c r="G1539" s="603"/>
      <c r="H1539" s="604"/>
      <c r="I1539" s="603"/>
      <c r="J1539" s="9"/>
      <c r="K1539" s="80" t="s">
        <v>130</v>
      </c>
    </row>
    <row r="1540" spans="1:12" ht="30" customHeight="1">
      <c r="A1540" s="171" t="s">
        <v>46</v>
      </c>
      <c r="B1540" s="126">
        <f>C1540*1.18</f>
        <v>18.88</v>
      </c>
      <c r="C1540" s="401">
        <v>16</v>
      </c>
      <c r="D1540" s="398"/>
      <c r="E1540" s="603"/>
      <c r="F1540" s="603"/>
      <c r="G1540" s="603"/>
      <c r="H1540" s="604"/>
      <c r="I1540" s="603"/>
      <c r="J1540" s="9"/>
      <c r="K1540" s="27" t="s">
        <v>34</v>
      </c>
      <c r="L1540" s="80">
        <f>+D1631+D1678</f>
        <v>60</v>
      </c>
    </row>
    <row r="1541" spans="1:12" ht="30" customHeight="1">
      <c r="A1541" s="115" t="s">
        <v>47</v>
      </c>
      <c r="B1541" s="52">
        <f>C1541*1.33</f>
        <v>99.75</v>
      </c>
      <c r="C1541" s="33">
        <v>75</v>
      </c>
      <c r="D1541" s="219"/>
      <c r="E1541" s="226"/>
      <c r="F1541" s="226"/>
      <c r="G1541" s="226"/>
      <c r="H1541" s="133"/>
      <c r="I1541" s="226"/>
      <c r="J1541" s="9"/>
      <c r="K1541" s="28" t="s">
        <v>35</v>
      </c>
      <c r="L1541" s="82">
        <f>C1611++D1680+C1617</f>
        <v>78</v>
      </c>
    </row>
    <row r="1542" spans="1:12" ht="30" customHeight="1">
      <c r="A1542" s="115" t="s">
        <v>48</v>
      </c>
      <c r="B1542" s="52">
        <f>C1542*1.43</f>
        <v>107.25</v>
      </c>
      <c r="C1542" s="33">
        <v>75</v>
      </c>
      <c r="D1542" s="219"/>
      <c r="E1542" s="226"/>
      <c r="F1542" s="226"/>
      <c r="G1542" s="226"/>
      <c r="H1542" s="133"/>
      <c r="I1542" s="226"/>
      <c r="J1542" s="9"/>
      <c r="K1542" s="28" t="s">
        <v>65</v>
      </c>
      <c r="L1542" s="82">
        <f>C1622</f>
        <v>10</v>
      </c>
    </row>
    <row r="1543" spans="1:12" ht="30" customHeight="1">
      <c r="A1543" s="48" t="s">
        <v>49</v>
      </c>
      <c r="B1543" s="52">
        <f>C1543*1.54</f>
        <v>115.5</v>
      </c>
      <c r="C1543" s="33">
        <v>75</v>
      </c>
      <c r="D1543" s="219"/>
      <c r="E1543" s="226"/>
      <c r="F1543" s="226"/>
      <c r="G1543" s="226"/>
      <c r="H1543" s="133"/>
      <c r="I1543" s="226"/>
      <c r="J1543" s="36"/>
      <c r="K1543" s="29" t="s">
        <v>66</v>
      </c>
      <c r="L1543" s="82"/>
    </row>
    <row r="1544" spans="1:12" ht="30" customHeight="1">
      <c r="A1544" s="20" t="s">
        <v>50</v>
      </c>
      <c r="B1544" s="52">
        <f>C1544*1.67</f>
        <v>125.25</v>
      </c>
      <c r="C1544" s="33">
        <v>75</v>
      </c>
      <c r="D1544" s="219"/>
      <c r="E1544" s="226"/>
      <c r="F1544" s="226"/>
      <c r="G1544" s="226"/>
      <c r="H1544" s="133"/>
      <c r="I1544" s="226"/>
      <c r="J1544" s="9"/>
      <c r="K1544" s="29" t="s">
        <v>59</v>
      </c>
      <c r="L1544" s="82">
        <f>C1625</f>
        <v>64</v>
      </c>
    </row>
    <row r="1545" spans="1:12" ht="30" customHeight="1">
      <c r="A1545" s="102" t="s">
        <v>347</v>
      </c>
      <c r="B1545" s="33">
        <v>5</v>
      </c>
      <c r="C1545" s="33">
        <v>5</v>
      </c>
      <c r="D1545" s="22"/>
      <c r="E1545" s="32"/>
      <c r="F1545" s="32"/>
      <c r="G1545" s="432"/>
      <c r="H1545" s="605"/>
      <c r="I1545" s="302"/>
      <c r="J1545" s="9"/>
      <c r="K1545" s="28" t="s">
        <v>22</v>
      </c>
      <c r="L1545" s="82">
        <f>C1669+C1648</f>
        <v>197</v>
      </c>
    </row>
    <row r="1546" spans="1:18" ht="30" customHeight="1">
      <c r="A1546" s="115" t="s">
        <v>51</v>
      </c>
      <c r="B1546" s="26">
        <f>C1546*1.19</f>
        <v>5.949999999999999</v>
      </c>
      <c r="C1546" s="24">
        <v>5</v>
      </c>
      <c r="D1546" s="398"/>
      <c r="E1546" s="603"/>
      <c r="F1546" s="603"/>
      <c r="G1546" s="603"/>
      <c r="H1546" s="604"/>
      <c r="I1546" s="603"/>
      <c r="J1546" s="9"/>
      <c r="K1546" s="28" t="s">
        <v>24</v>
      </c>
      <c r="L1546" s="82">
        <f>C1666+++C1647+C1619+C1621+C1652+C1654+C1655+C1635+C1639+C1664</f>
        <v>238.5</v>
      </c>
      <c r="N1546" s="83"/>
      <c r="O1546" s="83"/>
      <c r="P1546" s="83"/>
      <c r="Q1546" s="83"/>
      <c r="R1546" s="83"/>
    </row>
    <row r="1547" spans="1:12" ht="30" customHeight="1">
      <c r="A1547" s="115" t="s">
        <v>112</v>
      </c>
      <c r="B1547" s="270">
        <f>C1547*1.25</f>
        <v>12.5</v>
      </c>
      <c r="C1547" s="24">
        <v>10</v>
      </c>
      <c r="D1547" s="398"/>
      <c r="E1547" s="603"/>
      <c r="F1547" s="603"/>
      <c r="G1547" s="603"/>
      <c r="H1547" s="604"/>
      <c r="I1547" s="603"/>
      <c r="J1547" s="9"/>
      <c r="K1547" s="28" t="s">
        <v>21</v>
      </c>
      <c r="L1547" s="82">
        <f>D1630+C1637</f>
        <v>105</v>
      </c>
    </row>
    <row r="1548" spans="1:12" ht="30" customHeight="1">
      <c r="A1548" s="115" t="s">
        <v>43</v>
      </c>
      <c r="B1548" s="270">
        <f>C1548*1.33</f>
        <v>13.3</v>
      </c>
      <c r="C1548" s="24">
        <v>10</v>
      </c>
      <c r="D1548" s="398"/>
      <c r="E1548" s="603"/>
      <c r="F1548" s="603"/>
      <c r="G1548" s="603"/>
      <c r="H1548" s="604"/>
      <c r="I1548" s="603"/>
      <c r="J1548" s="9"/>
      <c r="K1548" s="28" t="s">
        <v>25</v>
      </c>
      <c r="L1548" s="81">
        <f>C1676</f>
        <v>20</v>
      </c>
    </row>
    <row r="1549" spans="1:11" ht="30" customHeight="1">
      <c r="A1549" s="115" t="s">
        <v>443</v>
      </c>
      <c r="B1549" s="24">
        <f>C1549*1.82</f>
        <v>27.3</v>
      </c>
      <c r="C1549" s="33">
        <v>15</v>
      </c>
      <c r="D1549" s="22"/>
      <c r="E1549" s="32"/>
      <c r="F1549" s="32"/>
      <c r="G1549" s="432"/>
      <c r="H1549" s="605"/>
      <c r="I1549" s="302"/>
      <c r="J1549" s="9"/>
      <c r="K1549" s="28" t="s">
        <v>61</v>
      </c>
    </row>
    <row r="1550" spans="1:12" ht="30" customHeight="1">
      <c r="A1550" s="53" t="s">
        <v>70</v>
      </c>
      <c r="B1550" s="45">
        <v>5</v>
      </c>
      <c r="C1550" s="45">
        <v>5</v>
      </c>
      <c r="D1550" s="606"/>
      <c r="E1550" s="607"/>
      <c r="F1550" s="607"/>
      <c r="G1550" s="607"/>
      <c r="H1550" s="608"/>
      <c r="I1550" s="607"/>
      <c r="J1550" s="9"/>
      <c r="K1550" s="28" t="s">
        <v>20</v>
      </c>
      <c r="L1550" s="81">
        <f>C1629+C1677+B1657++C1638</f>
        <v>31.8</v>
      </c>
    </row>
    <row r="1551" spans="1:11" ht="30" customHeight="1">
      <c r="A1551" s="20" t="s">
        <v>52</v>
      </c>
      <c r="B1551" s="22">
        <v>5</v>
      </c>
      <c r="C1551" s="22">
        <v>5</v>
      </c>
      <c r="D1551" s="22"/>
      <c r="E1551" s="32"/>
      <c r="F1551" s="32"/>
      <c r="G1551" s="432"/>
      <c r="H1551" s="605"/>
      <c r="I1551" s="302"/>
      <c r="J1551" s="9"/>
      <c r="K1551" s="28" t="s">
        <v>26</v>
      </c>
    </row>
    <row r="1552" spans="1:11" ht="30" customHeight="1">
      <c r="A1552" s="673" t="s">
        <v>461</v>
      </c>
      <c r="B1552" s="673"/>
      <c r="C1552" s="673"/>
      <c r="D1552" s="244">
        <v>100</v>
      </c>
      <c r="E1552" s="21">
        <v>12.5</v>
      </c>
      <c r="F1552" s="21">
        <v>12.8</v>
      </c>
      <c r="G1552" s="21">
        <v>5.94</v>
      </c>
      <c r="H1552" s="238">
        <f>E1552*4+F1552*9+G1552*4</f>
        <v>188.95999999999998</v>
      </c>
      <c r="I1552" s="300" t="s">
        <v>355</v>
      </c>
      <c r="J1552" s="9"/>
      <c r="K1552" s="27" t="s">
        <v>79</v>
      </c>
    </row>
    <row r="1553" spans="1:18" ht="30" customHeight="1">
      <c r="A1553" s="132" t="s">
        <v>328</v>
      </c>
      <c r="B1553" s="37">
        <f>C1553*1.17</f>
        <v>31.589999999999996</v>
      </c>
      <c r="C1553" s="33">
        <v>27</v>
      </c>
      <c r="D1553" s="244"/>
      <c r="E1553" s="21"/>
      <c r="F1553" s="21"/>
      <c r="G1553" s="21"/>
      <c r="H1553" s="238"/>
      <c r="I1553" s="300"/>
      <c r="J1553" s="9"/>
      <c r="K1553" s="28" t="s">
        <v>27</v>
      </c>
      <c r="L1553" s="82">
        <f>B1628</f>
        <v>2</v>
      </c>
      <c r="N1553" s="40"/>
      <c r="O1553" s="40"/>
      <c r="P1553" s="40"/>
      <c r="Q1553" s="40"/>
      <c r="R1553" s="40"/>
    </row>
    <row r="1554" spans="1:11" ht="30" customHeight="1">
      <c r="A1554" s="132" t="s">
        <v>45</v>
      </c>
      <c r="B1554" s="37">
        <f>C1554*1.36</f>
        <v>36.720000000000006</v>
      </c>
      <c r="C1554" s="33">
        <v>27</v>
      </c>
      <c r="D1554" s="22"/>
      <c r="E1554" s="44"/>
      <c r="F1554" s="44"/>
      <c r="G1554" s="44"/>
      <c r="H1554" s="45"/>
      <c r="I1554" s="44"/>
      <c r="J1554" s="9"/>
      <c r="K1554" s="28" t="s">
        <v>183</v>
      </c>
    </row>
    <row r="1555" spans="1:12" ht="30" customHeight="1">
      <c r="A1555" s="132" t="s">
        <v>46</v>
      </c>
      <c r="B1555" s="37">
        <f>C1555*1.18</f>
        <v>31.86</v>
      </c>
      <c r="C1555" s="33">
        <v>27</v>
      </c>
      <c r="D1555" s="22"/>
      <c r="E1555" s="399"/>
      <c r="F1555" s="399"/>
      <c r="G1555" s="399"/>
      <c r="H1555" s="316"/>
      <c r="I1555" s="399"/>
      <c r="J1555" s="9"/>
      <c r="K1555" s="28" t="s">
        <v>67</v>
      </c>
      <c r="L1555" s="82">
        <f>+C1644++C1614+C1615</f>
        <v>90</v>
      </c>
    </row>
    <row r="1556" spans="1:11" ht="30" customHeight="1">
      <c r="A1556" s="115" t="s">
        <v>42</v>
      </c>
      <c r="B1556" s="33">
        <v>11</v>
      </c>
      <c r="C1556" s="33">
        <v>11</v>
      </c>
      <c r="D1556" s="22"/>
      <c r="E1556" s="627"/>
      <c r="F1556" s="21"/>
      <c r="G1556" s="21"/>
      <c r="H1556" s="238"/>
      <c r="I1556" s="21"/>
      <c r="J1556" s="9"/>
      <c r="K1556" s="28" t="s">
        <v>185</v>
      </c>
    </row>
    <row r="1557" spans="1:12" ht="30" customHeight="1">
      <c r="A1557" s="53" t="s">
        <v>302</v>
      </c>
      <c r="B1557" s="23">
        <v>17</v>
      </c>
      <c r="C1557" s="23">
        <v>17</v>
      </c>
      <c r="D1557" s="22"/>
      <c r="E1557" s="627"/>
      <c r="F1557" s="32"/>
      <c r="G1557" s="32"/>
      <c r="H1557" s="45"/>
      <c r="I1557" s="32"/>
      <c r="J1557" s="9"/>
      <c r="K1557" s="27" t="s">
        <v>62</v>
      </c>
      <c r="L1557" s="82">
        <f>C1662</f>
        <v>149</v>
      </c>
    </row>
    <row r="1558" spans="1:12" ht="30" customHeight="1">
      <c r="A1558" s="102" t="s">
        <v>353</v>
      </c>
      <c r="B1558" s="400"/>
      <c r="C1558" s="628">
        <v>27</v>
      </c>
      <c r="D1558" s="22"/>
      <c r="E1558" s="43"/>
      <c r="F1558" s="43"/>
      <c r="G1558" s="43"/>
      <c r="H1558" s="26"/>
      <c r="I1558" s="43"/>
      <c r="J1558" s="9"/>
      <c r="K1558" s="28" t="s">
        <v>28</v>
      </c>
      <c r="L1558" s="82"/>
    </row>
    <row r="1559" spans="1:12" ht="30" customHeight="1">
      <c r="A1559" s="115" t="s">
        <v>51</v>
      </c>
      <c r="B1559" s="26">
        <f>C1559*1.19</f>
        <v>40.46</v>
      </c>
      <c r="C1559" s="33">
        <v>34</v>
      </c>
      <c r="D1559" s="22"/>
      <c r="E1559" s="32"/>
      <c r="F1559" s="32"/>
      <c r="G1559" s="32"/>
      <c r="H1559" s="45"/>
      <c r="I1559" s="283"/>
      <c r="J1559" s="9"/>
      <c r="K1559" s="30" t="s">
        <v>29</v>
      </c>
      <c r="L1559" s="82">
        <f>+C1618+C1673</f>
        <v>41</v>
      </c>
    </row>
    <row r="1560" spans="1:12" ht="30" customHeight="1">
      <c r="A1560" s="20" t="s">
        <v>70</v>
      </c>
      <c r="B1560" s="49">
        <v>4</v>
      </c>
      <c r="C1560" s="26">
        <v>4</v>
      </c>
      <c r="D1560" s="22"/>
      <c r="E1560" s="32"/>
      <c r="F1560" s="32"/>
      <c r="G1560" s="32"/>
      <c r="H1560" s="45"/>
      <c r="I1560" s="283"/>
      <c r="J1560" s="9"/>
      <c r="K1560" s="72" t="s">
        <v>85</v>
      </c>
      <c r="L1560" s="82"/>
    </row>
    <row r="1561" spans="1:18" ht="30" customHeight="1">
      <c r="A1561" s="20" t="s">
        <v>338</v>
      </c>
      <c r="B1561" s="49"/>
      <c r="C1561" s="26">
        <v>17</v>
      </c>
      <c r="D1561" s="22"/>
      <c r="E1561" s="32"/>
      <c r="F1561" s="32"/>
      <c r="G1561" s="32"/>
      <c r="H1561" s="45"/>
      <c r="I1561" s="283"/>
      <c r="J1561" s="9"/>
      <c r="K1561" s="27" t="s">
        <v>30</v>
      </c>
      <c r="L1561" s="82"/>
      <c r="N1561" s="83"/>
      <c r="O1561" s="83"/>
      <c r="P1561" s="83"/>
      <c r="Q1561" s="83"/>
      <c r="R1561" s="83"/>
    </row>
    <row r="1562" spans="1:12" ht="30" customHeight="1">
      <c r="A1562" s="25" t="s">
        <v>91</v>
      </c>
      <c r="B1562" s="400">
        <v>10</v>
      </c>
      <c r="C1562" s="400">
        <v>10</v>
      </c>
      <c r="D1562" s="22"/>
      <c r="E1562" s="43"/>
      <c r="F1562" s="43"/>
      <c r="G1562" s="43"/>
      <c r="H1562" s="26"/>
      <c r="I1562" s="43"/>
      <c r="J1562" s="9"/>
      <c r="K1562" s="27" t="s">
        <v>31</v>
      </c>
      <c r="L1562" s="82">
        <f>B1665+C1658</f>
        <v>8</v>
      </c>
    </row>
    <row r="1563" spans="1:12" ht="30" customHeight="1">
      <c r="A1563" s="102" t="s">
        <v>354</v>
      </c>
      <c r="B1563" s="400">
        <v>6</v>
      </c>
      <c r="C1563" s="400">
        <v>6</v>
      </c>
      <c r="D1563" s="22"/>
      <c r="E1563" s="43"/>
      <c r="F1563" s="43"/>
      <c r="G1563" s="43"/>
      <c r="H1563" s="26"/>
      <c r="I1563" s="43"/>
      <c r="J1563" s="36"/>
      <c r="K1563" s="28" t="s">
        <v>68</v>
      </c>
      <c r="L1563" s="82">
        <f>C1612</f>
        <v>20</v>
      </c>
    </row>
    <row r="1564" spans="1:12" ht="30" customHeight="1">
      <c r="A1564" s="20" t="s">
        <v>97</v>
      </c>
      <c r="B1564" s="400">
        <v>3</v>
      </c>
      <c r="C1564" s="400">
        <v>3</v>
      </c>
      <c r="D1564" s="22"/>
      <c r="E1564" s="43"/>
      <c r="F1564" s="43"/>
      <c r="G1564" s="43"/>
      <c r="H1564" s="26"/>
      <c r="I1564" s="43"/>
      <c r="J1564" s="9"/>
      <c r="K1564" s="27" t="s">
        <v>32</v>
      </c>
      <c r="L1564" s="82">
        <f>+C1674++C1626</f>
        <v>11</v>
      </c>
    </row>
    <row r="1565" spans="1:12" ht="30" customHeight="1">
      <c r="A1565" s="20" t="s">
        <v>117</v>
      </c>
      <c r="B1565" s="33">
        <v>1</v>
      </c>
      <c r="C1565" s="33">
        <v>1</v>
      </c>
      <c r="D1565" s="22"/>
      <c r="E1565" s="627"/>
      <c r="F1565" s="32"/>
      <c r="G1565" s="32"/>
      <c r="H1565" s="45"/>
      <c r="I1565" s="32"/>
      <c r="J1565" s="9"/>
      <c r="K1565" s="27" t="s">
        <v>23</v>
      </c>
      <c r="L1565" s="82">
        <f>C1623+C1642+C1667</f>
        <v>9</v>
      </c>
    </row>
    <row r="1566" spans="1:12" ht="30" customHeight="1">
      <c r="A1566" s="692" t="s">
        <v>95</v>
      </c>
      <c r="B1566" s="692"/>
      <c r="C1566" s="692"/>
      <c r="D1566" s="692"/>
      <c r="E1566" s="692"/>
      <c r="F1566" s="692"/>
      <c r="G1566" s="692"/>
      <c r="H1566" s="692"/>
      <c r="I1566" s="692"/>
      <c r="J1566" s="9"/>
      <c r="K1566" s="28" t="s">
        <v>33</v>
      </c>
      <c r="L1566" s="82">
        <f>+C1620</f>
        <v>4</v>
      </c>
    </row>
    <row r="1567" spans="1:11" ht="30" customHeight="1">
      <c r="A1567" s="673" t="s">
        <v>608</v>
      </c>
      <c r="B1567" s="673"/>
      <c r="C1567" s="673"/>
      <c r="D1567" s="244">
        <v>100</v>
      </c>
      <c r="E1567" s="21">
        <v>13.2</v>
      </c>
      <c r="F1567" s="21">
        <v>13.2</v>
      </c>
      <c r="G1567" s="21">
        <v>5.5</v>
      </c>
      <c r="H1567" s="238">
        <f>E1567*4+F1567*9+G1567*4</f>
        <v>193.6</v>
      </c>
      <c r="I1567" s="300" t="s">
        <v>609</v>
      </c>
      <c r="J1567" s="9"/>
      <c r="K1567" s="28" t="s">
        <v>78</v>
      </c>
    </row>
    <row r="1568" spans="1:12" ht="30" customHeight="1">
      <c r="A1568" s="132" t="s">
        <v>328</v>
      </c>
      <c r="B1568" s="37">
        <f>C1568*1.17</f>
        <v>31.589999999999996</v>
      </c>
      <c r="C1568" s="33">
        <v>27</v>
      </c>
      <c r="D1568" s="244"/>
      <c r="E1568" s="21"/>
      <c r="F1568" s="21"/>
      <c r="G1568" s="21"/>
      <c r="H1568" s="238"/>
      <c r="I1568" s="300"/>
      <c r="J1568" s="9"/>
      <c r="K1568" s="209" t="s">
        <v>193</v>
      </c>
      <c r="L1568" s="348"/>
    </row>
    <row r="1569" spans="1:21" ht="30" customHeight="1">
      <c r="A1569" s="132" t="s">
        <v>45</v>
      </c>
      <c r="B1569" s="37">
        <f>C1569*1.36</f>
        <v>36.720000000000006</v>
      </c>
      <c r="C1569" s="33">
        <v>27</v>
      </c>
      <c r="D1569" s="244"/>
      <c r="E1569" s="44"/>
      <c r="F1569" s="44"/>
      <c r="G1569" s="44"/>
      <c r="H1569" s="45"/>
      <c r="I1569" s="44"/>
      <c r="J1569" s="9"/>
      <c r="K1569" s="28"/>
      <c r="L1569" s="82"/>
      <c r="S1569" s="40"/>
      <c r="T1569" s="40"/>
      <c r="U1569" s="40"/>
    </row>
    <row r="1570" spans="1:12" ht="30" customHeight="1">
      <c r="A1570" s="132" t="s">
        <v>46</v>
      </c>
      <c r="B1570" s="37">
        <f>C1570*1.18</f>
        <v>31.86</v>
      </c>
      <c r="C1570" s="33">
        <v>27</v>
      </c>
      <c r="D1570" s="244"/>
      <c r="E1570" s="399"/>
      <c r="F1570" s="399"/>
      <c r="G1570" s="399"/>
      <c r="H1570" s="316"/>
      <c r="I1570" s="399"/>
      <c r="J1570" s="9"/>
      <c r="K1570" s="28"/>
      <c r="L1570" s="81"/>
    </row>
    <row r="1571" spans="1:18" ht="30" customHeight="1">
      <c r="A1571" s="115" t="s">
        <v>42</v>
      </c>
      <c r="B1571" s="33">
        <v>11</v>
      </c>
      <c r="C1571" s="33">
        <v>11</v>
      </c>
      <c r="D1571" s="244"/>
      <c r="E1571" s="627"/>
      <c r="F1571" s="21"/>
      <c r="G1571" s="21"/>
      <c r="H1571" s="238"/>
      <c r="I1571" s="21"/>
      <c r="J1571" s="9"/>
      <c r="N1571" s="40"/>
      <c r="O1571" s="40"/>
      <c r="P1571" s="40"/>
      <c r="Q1571" s="40"/>
      <c r="R1571" s="40"/>
    </row>
    <row r="1572" spans="1:10" ht="30" customHeight="1">
      <c r="A1572" s="53" t="s">
        <v>302</v>
      </c>
      <c r="B1572" s="23">
        <v>16</v>
      </c>
      <c r="C1572" s="23">
        <v>16</v>
      </c>
      <c r="D1572" s="244"/>
      <c r="E1572" s="627"/>
      <c r="F1572" s="32"/>
      <c r="G1572" s="32"/>
      <c r="H1572" s="45"/>
      <c r="I1572" s="32"/>
      <c r="J1572" s="9"/>
    </row>
    <row r="1573" spans="1:10" ht="30" customHeight="1">
      <c r="A1573" s="53" t="s">
        <v>437</v>
      </c>
      <c r="B1573" s="23"/>
      <c r="C1573" s="23">
        <v>80</v>
      </c>
      <c r="D1573" s="244"/>
      <c r="E1573" s="627"/>
      <c r="F1573" s="32"/>
      <c r="G1573" s="32"/>
      <c r="H1573" s="45"/>
      <c r="I1573" s="32"/>
      <c r="J1573" s="9"/>
    </row>
    <row r="1574" spans="1:10" ht="30" customHeight="1">
      <c r="A1574" s="102" t="s">
        <v>353</v>
      </c>
      <c r="B1574" s="400"/>
      <c r="C1574" s="400">
        <v>30</v>
      </c>
      <c r="D1574" s="244"/>
      <c r="E1574" s="43"/>
      <c r="F1574" s="43"/>
      <c r="G1574" s="43"/>
      <c r="H1574" s="26"/>
      <c r="I1574" s="43"/>
      <c r="J1574" s="9"/>
    </row>
    <row r="1575" spans="1:18" ht="30" customHeight="1">
      <c r="A1575" s="25" t="s">
        <v>91</v>
      </c>
      <c r="B1575" s="400">
        <v>28</v>
      </c>
      <c r="C1575" s="400">
        <v>28</v>
      </c>
      <c r="D1575" s="244"/>
      <c r="E1575" s="43"/>
      <c r="F1575" s="43"/>
      <c r="G1575" s="43"/>
      <c r="H1575" s="26"/>
      <c r="I1575" s="43"/>
      <c r="J1575" s="9"/>
      <c r="N1575" s="83"/>
      <c r="O1575" s="83"/>
      <c r="P1575" s="83"/>
      <c r="Q1575" s="83"/>
      <c r="R1575" s="83"/>
    </row>
    <row r="1576" spans="1:10" ht="30" customHeight="1">
      <c r="A1576" s="20" t="s">
        <v>70</v>
      </c>
      <c r="B1576" s="49">
        <v>2</v>
      </c>
      <c r="C1576" s="26">
        <v>2</v>
      </c>
      <c r="D1576" s="244"/>
      <c r="E1576" s="32"/>
      <c r="F1576" s="32"/>
      <c r="G1576" s="32"/>
      <c r="H1576" s="45"/>
      <c r="I1576" s="283"/>
      <c r="J1576" s="9"/>
    </row>
    <row r="1577" spans="1:10" ht="30" customHeight="1">
      <c r="A1577" s="20" t="s">
        <v>97</v>
      </c>
      <c r="B1577" s="400">
        <v>3</v>
      </c>
      <c r="C1577" s="400">
        <v>3</v>
      </c>
      <c r="D1577" s="244"/>
      <c r="E1577" s="43"/>
      <c r="F1577" s="43"/>
      <c r="G1577" s="43"/>
      <c r="H1577" s="26"/>
      <c r="I1577" s="43"/>
      <c r="J1577" s="9"/>
    </row>
    <row r="1578" spans="1:10" ht="30" customHeight="1">
      <c r="A1578" s="102" t="s">
        <v>354</v>
      </c>
      <c r="B1578" s="400">
        <v>5</v>
      </c>
      <c r="C1578" s="400">
        <v>5</v>
      </c>
      <c r="D1578" s="244"/>
      <c r="E1578" s="43"/>
      <c r="F1578" s="43"/>
      <c r="G1578" s="43"/>
      <c r="H1578" s="26"/>
      <c r="I1578" s="43"/>
      <c r="J1578" s="9"/>
    </row>
    <row r="1579" spans="1:10" ht="30" customHeight="1">
      <c r="A1579" s="20" t="s">
        <v>117</v>
      </c>
      <c r="B1579" s="33">
        <v>1</v>
      </c>
      <c r="C1579" s="33">
        <v>1</v>
      </c>
      <c r="D1579" s="244"/>
      <c r="E1579" s="627"/>
      <c r="F1579" s="32"/>
      <c r="G1579" s="32"/>
      <c r="H1579" s="45"/>
      <c r="I1579" s="32"/>
      <c r="J1579" s="9"/>
    </row>
    <row r="1580" spans="1:21" ht="30" customHeight="1">
      <c r="A1580" s="675" t="s">
        <v>311</v>
      </c>
      <c r="B1580" s="675"/>
      <c r="C1580" s="675"/>
      <c r="D1580" s="632">
        <v>180</v>
      </c>
      <c r="E1580" s="21">
        <v>5.2</v>
      </c>
      <c r="F1580" s="21">
        <v>11.3</v>
      </c>
      <c r="G1580" s="21">
        <v>23</v>
      </c>
      <c r="H1580" s="238">
        <f>E1580*4+F1580*9+G1580*4</f>
        <v>214.5</v>
      </c>
      <c r="I1580" s="300" t="s">
        <v>234</v>
      </c>
      <c r="J1580" s="9"/>
      <c r="S1580" s="83"/>
      <c r="T1580" s="83"/>
      <c r="U1580" s="83"/>
    </row>
    <row r="1581" spans="1:10" ht="30" customHeight="1">
      <c r="A1581" s="53" t="s">
        <v>47</v>
      </c>
      <c r="B1581" s="45">
        <f>C1581*1.33</f>
        <v>172.9</v>
      </c>
      <c r="C1581" s="45">
        <v>130</v>
      </c>
      <c r="D1581" s="23"/>
      <c r="E1581" s="32"/>
      <c r="F1581" s="32"/>
      <c r="G1581" s="32"/>
      <c r="H1581" s="45"/>
      <c r="I1581" s="300"/>
      <c r="J1581" s="9"/>
    </row>
    <row r="1582" spans="1:10" ht="30" customHeight="1">
      <c r="A1582" s="20" t="s">
        <v>48</v>
      </c>
      <c r="B1582" s="26">
        <f>C1582*1.43</f>
        <v>185.9</v>
      </c>
      <c r="C1582" s="26">
        <v>130</v>
      </c>
      <c r="D1582" s="23"/>
      <c r="E1582" s="32"/>
      <c r="F1582" s="32"/>
      <c r="G1582" s="32"/>
      <c r="H1582" s="45"/>
      <c r="I1582" s="300"/>
      <c r="J1582" s="9"/>
    </row>
    <row r="1583" spans="1:10" ht="30" customHeight="1">
      <c r="A1583" s="20" t="s">
        <v>49</v>
      </c>
      <c r="B1583" s="26">
        <f>C1583*1.54</f>
        <v>200.20000000000002</v>
      </c>
      <c r="C1583" s="26">
        <v>130</v>
      </c>
      <c r="D1583" s="23"/>
      <c r="E1583" s="32"/>
      <c r="F1583" s="32"/>
      <c r="G1583" s="32"/>
      <c r="H1583" s="45"/>
      <c r="I1583" s="300"/>
      <c r="J1583" s="9"/>
    </row>
    <row r="1584" spans="1:10" ht="30" customHeight="1">
      <c r="A1584" s="20" t="s">
        <v>50</v>
      </c>
      <c r="B1584" s="26">
        <f>C1584*1.67</f>
        <v>217.1</v>
      </c>
      <c r="C1584" s="26">
        <v>130</v>
      </c>
      <c r="D1584" s="23"/>
      <c r="E1584" s="32"/>
      <c r="F1584" s="32"/>
      <c r="G1584" s="32"/>
      <c r="H1584" s="45"/>
      <c r="I1584" s="300"/>
      <c r="J1584" s="36"/>
    </row>
    <row r="1585" spans="1:10" ht="30" customHeight="1">
      <c r="A1585" s="53" t="s">
        <v>112</v>
      </c>
      <c r="B1585" s="45">
        <f>C1585*1.25</f>
        <v>30</v>
      </c>
      <c r="C1585" s="45">
        <v>24</v>
      </c>
      <c r="D1585" s="23"/>
      <c r="E1585" s="32"/>
      <c r="F1585" s="32"/>
      <c r="G1585" s="32"/>
      <c r="H1585" s="45"/>
      <c r="I1585" s="300"/>
      <c r="J1585" s="9"/>
    </row>
    <row r="1586" spans="1:10" ht="30" customHeight="1">
      <c r="A1586" s="59" t="s">
        <v>43</v>
      </c>
      <c r="B1586" s="45">
        <f>C1586*1.33</f>
        <v>26.6</v>
      </c>
      <c r="C1586" s="45">
        <v>20</v>
      </c>
      <c r="D1586" s="23"/>
      <c r="E1586" s="32"/>
      <c r="F1586" s="32"/>
      <c r="G1586" s="32"/>
      <c r="H1586" s="45"/>
      <c r="I1586" s="300"/>
      <c r="J1586" s="9"/>
    </row>
    <row r="1587" spans="1:10" ht="30" customHeight="1">
      <c r="A1587" s="53" t="s">
        <v>51</v>
      </c>
      <c r="B1587" s="45">
        <f>C1587*1.19</f>
        <v>17.849999999999998</v>
      </c>
      <c r="C1587" s="45">
        <v>15</v>
      </c>
      <c r="D1587" s="23"/>
      <c r="E1587" s="32"/>
      <c r="F1587" s="32"/>
      <c r="G1587" s="32"/>
      <c r="H1587" s="45"/>
      <c r="I1587" s="300"/>
      <c r="J1587" s="9"/>
    </row>
    <row r="1588" spans="1:10" ht="28.5" customHeight="1">
      <c r="A1588" s="53" t="s">
        <v>44</v>
      </c>
      <c r="B1588" s="45">
        <v>10</v>
      </c>
      <c r="C1588" s="45">
        <v>10</v>
      </c>
      <c r="D1588" s="23"/>
      <c r="E1588" s="32"/>
      <c r="F1588" s="32"/>
      <c r="G1588" s="32"/>
      <c r="H1588" s="45"/>
      <c r="I1588" s="300"/>
      <c r="J1588" s="18"/>
    </row>
    <row r="1589" spans="1:10" ht="28.5" customHeight="1">
      <c r="A1589" s="274" t="s">
        <v>209</v>
      </c>
      <c r="B1589" s="26"/>
      <c r="C1589" s="3">
        <v>60</v>
      </c>
      <c r="D1589" s="23"/>
      <c r="E1589" s="32"/>
      <c r="F1589" s="32"/>
      <c r="G1589" s="32"/>
      <c r="H1589" s="45"/>
      <c r="I1589" s="300"/>
      <c r="J1589" s="9"/>
    </row>
    <row r="1590" spans="1:10" ht="28.5" customHeight="1">
      <c r="A1590" s="89" t="s">
        <v>83</v>
      </c>
      <c r="B1590" s="45">
        <v>10</v>
      </c>
      <c r="C1590" s="45">
        <v>10</v>
      </c>
      <c r="D1590" s="23"/>
      <c r="E1590" s="32"/>
      <c r="F1590" s="32"/>
      <c r="G1590" s="32"/>
      <c r="H1590" s="45"/>
      <c r="I1590" s="300"/>
      <c r="J1590" s="9"/>
    </row>
    <row r="1591" spans="1:10" ht="28.5" customHeight="1">
      <c r="A1591" s="53" t="s">
        <v>54</v>
      </c>
      <c r="B1591" s="45">
        <v>2</v>
      </c>
      <c r="C1591" s="45">
        <v>2</v>
      </c>
      <c r="D1591" s="23"/>
      <c r="E1591" s="32"/>
      <c r="F1591" s="32"/>
      <c r="G1591" s="32"/>
      <c r="H1591" s="45"/>
      <c r="I1591" s="300"/>
      <c r="J1591" s="9"/>
    </row>
    <row r="1592" spans="1:10" ht="28.5" customHeight="1">
      <c r="A1592" s="53" t="s">
        <v>112</v>
      </c>
      <c r="B1592" s="32">
        <f>C1592*1.25</f>
        <v>6.25</v>
      </c>
      <c r="C1592" s="45">
        <v>5</v>
      </c>
      <c r="D1592" s="23"/>
      <c r="E1592" s="32"/>
      <c r="F1592" s="32"/>
      <c r="G1592" s="32"/>
      <c r="H1592" s="45"/>
      <c r="I1592" s="300"/>
      <c r="J1592" s="9"/>
    </row>
    <row r="1593" spans="1:10" ht="28.5" customHeight="1">
      <c r="A1593" s="59" t="s">
        <v>43</v>
      </c>
      <c r="B1593" s="32">
        <f>C1593*1.33</f>
        <v>6.65</v>
      </c>
      <c r="C1593" s="45">
        <v>5</v>
      </c>
      <c r="D1593" s="23"/>
      <c r="E1593" s="32"/>
      <c r="F1593" s="32"/>
      <c r="G1593" s="32"/>
      <c r="H1593" s="45"/>
      <c r="I1593" s="300"/>
      <c r="J1593" s="9"/>
    </row>
    <row r="1594" spans="1:21" ht="28.5" customHeight="1">
      <c r="A1594" s="53" t="s">
        <v>51</v>
      </c>
      <c r="B1594" s="45">
        <f>C1594*1.19</f>
        <v>5.949999999999999</v>
      </c>
      <c r="C1594" s="45">
        <v>5</v>
      </c>
      <c r="D1594" s="23"/>
      <c r="E1594" s="32"/>
      <c r="F1594" s="32"/>
      <c r="G1594" s="32"/>
      <c r="H1594" s="45"/>
      <c r="I1594" s="300"/>
      <c r="J1594" s="36"/>
      <c r="S1594" s="40"/>
      <c r="T1594" s="40"/>
      <c r="U1594" s="40"/>
    </row>
    <row r="1595" spans="1:10" ht="28.5" customHeight="1">
      <c r="A1595" s="53" t="s">
        <v>39</v>
      </c>
      <c r="B1595" s="32">
        <v>1.5</v>
      </c>
      <c r="C1595" s="32">
        <v>1.5</v>
      </c>
      <c r="D1595" s="23"/>
      <c r="E1595" s="32"/>
      <c r="F1595" s="32"/>
      <c r="G1595" s="32"/>
      <c r="H1595" s="45"/>
      <c r="I1595" s="300"/>
      <c r="J1595" s="9"/>
    </row>
    <row r="1596" spans="1:10" ht="28.5" customHeight="1">
      <c r="A1596" s="278" t="s">
        <v>278</v>
      </c>
      <c r="B1596" s="1">
        <v>200</v>
      </c>
      <c r="C1596" s="1">
        <v>200</v>
      </c>
      <c r="D1596" s="1">
        <v>200</v>
      </c>
      <c r="E1596" s="2">
        <v>0.4</v>
      </c>
      <c r="F1596" s="2">
        <v>0</v>
      </c>
      <c r="G1596" s="2">
        <v>22</v>
      </c>
      <c r="H1596" s="3">
        <f>E1596*4+F1596*9+G1596*4</f>
        <v>89.6</v>
      </c>
      <c r="I1596" s="300" t="s">
        <v>279</v>
      </c>
      <c r="J1596" s="9"/>
    </row>
    <row r="1597" spans="1:10" ht="28.5" customHeight="1">
      <c r="A1597" s="692" t="s">
        <v>95</v>
      </c>
      <c r="B1597" s="692"/>
      <c r="C1597" s="692"/>
      <c r="D1597" s="692"/>
      <c r="E1597" s="692"/>
      <c r="F1597" s="692"/>
      <c r="G1597" s="692"/>
      <c r="H1597" s="692"/>
      <c r="I1597" s="692"/>
      <c r="J1597" s="9"/>
    </row>
    <row r="1598" spans="1:18" ht="28.5" customHeight="1">
      <c r="A1598" s="675" t="s">
        <v>417</v>
      </c>
      <c r="B1598" s="702"/>
      <c r="C1598" s="702"/>
      <c r="D1598" s="4">
        <v>200</v>
      </c>
      <c r="E1598" s="2">
        <v>0.3</v>
      </c>
      <c r="F1598" s="2">
        <v>0.02</v>
      </c>
      <c r="G1598" s="2">
        <v>26.4</v>
      </c>
      <c r="H1598" s="3">
        <f>E1598*4+F1598*9+G1598*4</f>
        <v>106.97999999999999</v>
      </c>
      <c r="I1598" s="320" t="s">
        <v>418</v>
      </c>
      <c r="J1598" s="36"/>
      <c r="N1598" s="40"/>
      <c r="O1598" s="40"/>
      <c r="P1598" s="40"/>
      <c r="Q1598" s="40"/>
      <c r="R1598" s="40"/>
    </row>
    <row r="1599" spans="1:10" ht="28.5" customHeight="1">
      <c r="A1599" s="25" t="s">
        <v>419</v>
      </c>
      <c r="B1599" s="22">
        <v>25</v>
      </c>
      <c r="C1599" s="22">
        <v>25</v>
      </c>
      <c r="D1599" s="1"/>
      <c r="E1599" s="63"/>
      <c r="F1599" s="63"/>
      <c r="G1599" s="63"/>
      <c r="H1599" s="105"/>
      <c r="I1599" s="474"/>
      <c r="J1599" s="9"/>
    </row>
    <row r="1600" spans="1:10" ht="28.5" customHeight="1">
      <c r="A1600" s="25" t="s">
        <v>39</v>
      </c>
      <c r="B1600" s="22">
        <v>10</v>
      </c>
      <c r="C1600" s="22">
        <v>10</v>
      </c>
      <c r="D1600" s="1"/>
      <c r="E1600" s="63"/>
      <c r="F1600" s="63"/>
      <c r="G1600" s="63"/>
      <c r="H1600" s="105"/>
      <c r="I1600" s="470"/>
      <c r="J1600" s="9"/>
    </row>
    <row r="1601" spans="1:10" ht="28.5" customHeight="1">
      <c r="A1601" s="674" t="s">
        <v>34</v>
      </c>
      <c r="B1601" s="674"/>
      <c r="C1601" s="674"/>
      <c r="D1601" s="1">
        <v>30</v>
      </c>
      <c r="E1601" s="2">
        <v>1.41</v>
      </c>
      <c r="F1601" s="2">
        <v>0.3</v>
      </c>
      <c r="G1601" s="2">
        <v>13.11</v>
      </c>
      <c r="H1601" s="3">
        <v>60.78000000000001</v>
      </c>
      <c r="I1601" s="294"/>
      <c r="J1601" s="9"/>
    </row>
    <row r="1602" spans="1:10" ht="28.5" customHeight="1">
      <c r="A1602" s="675" t="s">
        <v>145</v>
      </c>
      <c r="B1602" s="675"/>
      <c r="C1602" s="675"/>
      <c r="D1602" s="1">
        <v>30</v>
      </c>
      <c r="E1602" s="2">
        <f>E1601*30/20</f>
        <v>2.1149999999999998</v>
      </c>
      <c r="F1602" s="2">
        <f>F1601*30/20</f>
        <v>0.45</v>
      </c>
      <c r="G1602" s="2">
        <f>G1601*30/20</f>
        <v>19.665</v>
      </c>
      <c r="H1602" s="2">
        <f>H1601*30/20</f>
        <v>91.17000000000002</v>
      </c>
      <c r="I1602" s="294"/>
      <c r="J1602" s="9"/>
    </row>
    <row r="1603" spans="1:10" ht="28.5" customHeight="1">
      <c r="A1603" s="674" t="s">
        <v>74</v>
      </c>
      <c r="B1603" s="674"/>
      <c r="C1603" s="674"/>
      <c r="D1603" s="3">
        <v>50</v>
      </c>
      <c r="E1603" s="2">
        <v>2.5</v>
      </c>
      <c r="F1603" s="2">
        <v>0.7000000000000001</v>
      </c>
      <c r="G1603" s="2">
        <v>20.25</v>
      </c>
      <c r="H1603" s="3">
        <v>97.3</v>
      </c>
      <c r="I1603" s="294"/>
      <c r="J1603" s="9"/>
    </row>
    <row r="1604" spans="1:10" ht="28.5" customHeight="1">
      <c r="A1604" s="675" t="s">
        <v>72</v>
      </c>
      <c r="B1604" s="675"/>
      <c r="C1604" s="675"/>
      <c r="D1604" s="1">
        <v>50</v>
      </c>
      <c r="E1604" s="2"/>
      <c r="F1604" s="2"/>
      <c r="G1604" s="2"/>
      <c r="H1604" s="2"/>
      <c r="I1604" s="294"/>
      <c r="J1604" s="10"/>
    </row>
    <row r="1605" spans="1:10" ht="28.5" customHeight="1">
      <c r="A1605" s="698" t="s">
        <v>202</v>
      </c>
      <c r="B1605" s="698"/>
      <c r="C1605" s="698"/>
      <c r="D1605" s="266"/>
      <c r="E1605" s="235">
        <f>E1501+E1533</f>
        <v>56.209999999999994</v>
      </c>
      <c r="F1605" s="235">
        <f>F1501+F1533</f>
        <v>61.38</v>
      </c>
      <c r="G1605" s="235">
        <f>G1501+G1533</f>
        <v>175.3</v>
      </c>
      <c r="H1605" s="267">
        <f>H1501+H1533</f>
        <v>1478.4599999999998</v>
      </c>
      <c r="I1605" s="302"/>
      <c r="J1605" s="10"/>
    </row>
    <row r="1606" spans="1:10" ht="30" customHeight="1">
      <c r="A1606" s="706" t="s">
        <v>130</v>
      </c>
      <c r="B1606" s="706"/>
      <c r="C1606" s="706"/>
      <c r="D1606" s="706"/>
      <c r="E1606" s="706"/>
      <c r="F1606" s="706"/>
      <c r="G1606" s="706"/>
      <c r="H1606" s="707"/>
      <c r="I1606" s="706"/>
      <c r="J1606" s="10"/>
    </row>
    <row r="1607" spans="1:21" ht="30" customHeight="1">
      <c r="A1607" s="693" t="s">
        <v>1</v>
      </c>
      <c r="B1607" s="676" t="s">
        <v>2</v>
      </c>
      <c r="C1607" s="676" t="s">
        <v>3</v>
      </c>
      <c r="D1607" s="676" t="s">
        <v>4</v>
      </c>
      <c r="E1607" s="676"/>
      <c r="F1607" s="676"/>
      <c r="G1607" s="676"/>
      <c r="H1607" s="676"/>
      <c r="I1607" s="682" t="s">
        <v>201</v>
      </c>
      <c r="J1607" s="114"/>
      <c r="S1607" s="40"/>
      <c r="T1607" s="40"/>
      <c r="U1607" s="40"/>
    </row>
    <row r="1608" spans="1:11" ht="30" customHeight="1">
      <c r="A1608" s="693"/>
      <c r="B1608" s="676"/>
      <c r="C1608" s="676"/>
      <c r="D1608" s="6" t="s">
        <v>5</v>
      </c>
      <c r="E1608" s="62" t="s">
        <v>6</v>
      </c>
      <c r="F1608" s="62" t="s">
        <v>7</v>
      </c>
      <c r="G1608" s="62" t="s">
        <v>8</v>
      </c>
      <c r="H1608" s="69" t="s">
        <v>9</v>
      </c>
      <c r="I1608" s="682"/>
      <c r="J1608" s="16"/>
      <c r="K1608" s="91"/>
    </row>
    <row r="1609" spans="1:11" ht="30" customHeight="1">
      <c r="A1609" s="690" t="s">
        <v>10</v>
      </c>
      <c r="B1609" s="690"/>
      <c r="C1609" s="690"/>
      <c r="D1609" s="243">
        <f>40+D1613+D1624+D1627+D1630</f>
        <v>620</v>
      </c>
      <c r="E1609" s="71">
        <f>E1610+E1613+E1624+E1627+E1630+E1631</f>
        <v>25.3</v>
      </c>
      <c r="F1609" s="71">
        <f>F1610+F1613+F1624+F1627+F1630+F1631</f>
        <v>23.599999999999998</v>
      </c>
      <c r="G1609" s="71">
        <f>G1610+G1613+G1624+G1627+G1630+G1631</f>
        <v>90.4</v>
      </c>
      <c r="H1609" s="71">
        <f>H1610+H1613+H1624+H1627+H1630+H1631</f>
        <v>674.4199999999998</v>
      </c>
      <c r="I1609" s="293"/>
      <c r="J1609" s="91"/>
      <c r="K1609" s="91"/>
    </row>
    <row r="1610" spans="1:10" ht="30" customHeight="1">
      <c r="A1610" s="672" t="s">
        <v>228</v>
      </c>
      <c r="B1610" s="672"/>
      <c r="C1610" s="672"/>
      <c r="D1610" s="223" t="s">
        <v>303</v>
      </c>
      <c r="E1610" s="63">
        <v>5.7</v>
      </c>
      <c r="F1610" s="224">
        <v>6.2</v>
      </c>
      <c r="G1610" s="63">
        <v>7.2</v>
      </c>
      <c r="H1610" s="3">
        <f>E1610*4+F1610*9+G1610*4</f>
        <v>107.4</v>
      </c>
      <c r="I1610" s="294" t="s">
        <v>229</v>
      </c>
      <c r="J1610" s="18"/>
    </row>
    <row r="1611" spans="1:10" ht="30" customHeight="1">
      <c r="A1611" s="101" t="s">
        <v>393</v>
      </c>
      <c r="B1611" s="58">
        <v>20</v>
      </c>
      <c r="C1611" s="58">
        <v>20</v>
      </c>
      <c r="D1611" s="218"/>
      <c r="E1611" s="225"/>
      <c r="F1611" s="225"/>
      <c r="G1611" s="225"/>
      <c r="H1611" s="233"/>
      <c r="I1611" s="296"/>
      <c r="J1611" s="9"/>
    </row>
    <row r="1612" spans="1:10" ht="30" customHeight="1">
      <c r="A1612" s="89" t="s">
        <v>58</v>
      </c>
      <c r="B1612" s="57">
        <v>21</v>
      </c>
      <c r="C1612" s="58">
        <v>20</v>
      </c>
      <c r="D1612" s="218"/>
      <c r="E1612" s="225"/>
      <c r="F1612" s="225"/>
      <c r="G1612" s="225"/>
      <c r="H1612" s="233"/>
      <c r="I1612" s="296"/>
      <c r="J1612" s="9"/>
    </row>
    <row r="1613" spans="1:10" ht="30" customHeight="1">
      <c r="A1613" s="671" t="s">
        <v>567</v>
      </c>
      <c r="B1613" s="671"/>
      <c r="C1613" s="671"/>
      <c r="D1613" s="1">
        <v>100</v>
      </c>
      <c r="E1613" s="2">
        <v>14.8</v>
      </c>
      <c r="F1613" s="2">
        <v>13.7</v>
      </c>
      <c r="G1613" s="2">
        <v>12</v>
      </c>
      <c r="H1613" s="3">
        <f>E1613*4+F1613*9+G1613*4</f>
        <v>230.5</v>
      </c>
      <c r="I1613" s="294" t="s">
        <v>547</v>
      </c>
      <c r="J1613" s="9"/>
    </row>
    <row r="1614" spans="1:10" ht="30" customHeight="1">
      <c r="A1614" s="132" t="s">
        <v>328</v>
      </c>
      <c r="B1614" s="37">
        <f>C1614*1.17</f>
        <v>43.29</v>
      </c>
      <c r="C1614" s="57">
        <v>37</v>
      </c>
      <c r="D1614" s="1"/>
      <c r="E1614" s="2"/>
      <c r="F1614" s="2"/>
      <c r="G1614" s="2"/>
      <c r="H1614" s="3"/>
      <c r="I1614" s="294"/>
      <c r="J1614" s="9"/>
    </row>
    <row r="1615" spans="1:10" ht="30" customHeight="1">
      <c r="A1615" s="132" t="s">
        <v>45</v>
      </c>
      <c r="B1615" s="37">
        <f>C1615*1.36</f>
        <v>50.32</v>
      </c>
      <c r="C1615" s="57">
        <v>37</v>
      </c>
      <c r="D1615" s="22"/>
      <c r="E1615" s="43"/>
      <c r="F1615" s="43"/>
      <c r="G1615" s="43"/>
      <c r="H1615" s="26"/>
      <c r="I1615" s="43"/>
      <c r="J1615" s="9"/>
    </row>
    <row r="1616" spans="1:12" ht="30" customHeight="1">
      <c r="A1616" s="132" t="s">
        <v>46</v>
      </c>
      <c r="B1616" s="37">
        <f>C1616*1.18</f>
        <v>43.66</v>
      </c>
      <c r="C1616" s="57">
        <v>37</v>
      </c>
      <c r="D1616" s="22"/>
      <c r="E1616" s="43"/>
      <c r="F1616" s="43"/>
      <c r="G1616" s="43"/>
      <c r="H1616" s="26"/>
      <c r="I1616" s="295"/>
      <c r="J1616" s="9"/>
      <c r="L1616" s="264"/>
    </row>
    <row r="1617" spans="1:10" ht="30" customHeight="1">
      <c r="A1617" s="147" t="s">
        <v>42</v>
      </c>
      <c r="B1617" s="23">
        <v>18</v>
      </c>
      <c r="C1617" s="23">
        <v>18</v>
      </c>
      <c r="D1617" s="22"/>
      <c r="E1617" s="43"/>
      <c r="F1617" s="43"/>
      <c r="G1617" s="43"/>
      <c r="H1617" s="26"/>
      <c r="I1617" s="295"/>
      <c r="J1617" s="9"/>
    </row>
    <row r="1618" spans="1:21" ht="30" customHeight="1">
      <c r="A1618" s="53" t="s">
        <v>326</v>
      </c>
      <c r="B1618" s="23">
        <v>12</v>
      </c>
      <c r="C1618" s="23">
        <v>12</v>
      </c>
      <c r="D1618" s="22"/>
      <c r="E1618" s="43"/>
      <c r="F1618" s="43"/>
      <c r="G1618" s="43"/>
      <c r="H1618" s="26"/>
      <c r="I1618" s="295"/>
      <c r="J1618" s="9"/>
      <c r="S1618" s="40"/>
      <c r="T1618" s="40"/>
      <c r="U1618" s="40"/>
    </row>
    <row r="1619" spans="1:10" ht="30" customHeight="1">
      <c r="A1619" s="101" t="s">
        <v>51</v>
      </c>
      <c r="B1619" s="437">
        <f>C1619*1.19</f>
        <v>9.52</v>
      </c>
      <c r="C1619" s="146">
        <v>8</v>
      </c>
      <c r="D1619" s="22"/>
      <c r="E1619" s="43"/>
      <c r="F1619" s="43"/>
      <c r="G1619" s="43"/>
      <c r="H1619" s="26"/>
      <c r="I1619" s="295"/>
      <c r="J1619" s="9"/>
    </row>
    <row r="1620" spans="1:10" ht="30" customHeight="1">
      <c r="A1620" s="25" t="s">
        <v>91</v>
      </c>
      <c r="B1620" s="57">
        <v>4</v>
      </c>
      <c r="C1620" s="57">
        <v>4</v>
      </c>
      <c r="D1620" s="22"/>
      <c r="E1620" s="50"/>
      <c r="F1620" s="43"/>
      <c r="G1620" s="43"/>
      <c r="H1620" s="26"/>
      <c r="I1620" s="295"/>
      <c r="J1620" s="9"/>
    </row>
    <row r="1621" spans="1:10" ht="30" customHeight="1">
      <c r="A1621" s="59" t="s">
        <v>525</v>
      </c>
      <c r="B1621" s="32">
        <f>C1621*1.28</f>
        <v>1.28</v>
      </c>
      <c r="C1621" s="23">
        <v>1</v>
      </c>
      <c r="D1621" s="1"/>
      <c r="E1621" s="2"/>
      <c r="F1621" s="50"/>
      <c r="G1621" s="50"/>
      <c r="H1621" s="46"/>
      <c r="I1621" s="514"/>
      <c r="J1621" s="9"/>
    </row>
    <row r="1622" spans="1:10" ht="30" customHeight="1">
      <c r="A1622" s="102" t="s">
        <v>327</v>
      </c>
      <c r="B1622" s="400">
        <v>10</v>
      </c>
      <c r="C1622" s="400">
        <v>10</v>
      </c>
      <c r="D1622" s="282"/>
      <c r="E1622" s="43"/>
      <c r="F1622" s="43"/>
      <c r="G1622" s="43"/>
      <c r="H1622" s="26"/>
      <c r="I1622" s="43"/>
      <c r="J1622" s="9"/>
    </row>
    <row r="1623" spans="1:10" ht="30" customHeight="1">
      <c r="A1623" s="101" t="s">
        <v>44</v>
      </c>
      <c r="B1623" s="64">
        <v>2</v>
      </c>
      <c r="C1623" s="146">
        <v>2</v>
      </c>
      <c r="D1623" s="22"/>
      <c r="E1623" s="43"/>
      <c r="F1623" s="43"/>
      <c r="G1623" s="43"/>
      <c r="H1623" s="26"/>
      <c r="I1623" s="295"/>
      <c r="J1623" s="9"/>
    </row>
    <row r="1624" spans="1:10" ht="30" customHeight="1">
      <c r="A1624" s="671" t="s">
        <v>312</v>
      </c>
      <c r="B1624" s="671"/>
      <c r="C1624" s="671"/>
      <c r="D1624" s="632">
        <v>180</v>
      </c>
      <c r="E1624" s="21">
        <v>3.8</v>
      </c>
      <c r="F1624" s="21">
        <v>3.4</v>
      </c>
      <c r="G1624" s="21">
        <v>41.1</v>
      </c>
      <c r="H1624" s="238">
        <f>E1624*4+F1624*9+G1624*4</f>
        <v>210.2</v>
      </c>
      <c r="I1624" s="300" t="s">
        <v>223</v>
      </c>
      <c r="J1624" s="9"/>
    </row>
    <row r="1625" spans="1:10" ht="30" customHeight="1">
      <c r="A1625" s="20" t="s">
        <v>392</v>
      </c>
      <c r="B1625" s="26">
        <v>64</v>
      </c>
      <c r="C1625" s="26">
        <v>64</v>
      </c>
      <c r="D1625" s="632"/>
      <c r="E1625" s="21"/>
      <c r="F1625" s="21"/>
      <c r="G1625" s="21"/>
      <c r="H1625" s="238"/>
      <c r="I1625" s="329"/>
      <c r="J1625" s="9"/>
    </row>
    <row r="1626" spans="1:10" ht="30" customHeight="1">
      <c r="A1626" s="53" t="s">
        <v>70</v>
      </c>
      <c r="B1626" s="23">
        <v>4</v>
      </c>
      <c r="C1626" s="23">
        <v>4</v>
      </c>
      <c r="D1626" s="23"/>
      <c r="E1626" s="32"/>
      <c r="F1626" s="32"/>
      <c r="G1626" s="32"/>
      <c r="H1626" s="45"/>
      <c r="I1626" s="327"/>
      <c r="J1626" s="9"/>
    </row>
    <row r="1627" spans="1:10" ht="30" customHeight="1">
      <c r="A1627" s="674" t="s">
        <v>269</v>
      </c>
      <c r="B1627" s="674"/>
      <c r="C1627" s="674"/>
      <c r="D1627" s="1">
        <v>200</v>
      </c>
      <c r="E1627" s="2">
        <v>0.2</v>
      </c>
      <c r="F1627" s="2">
        <v>0</v>
      </c>
      <c r="G1627" s="2">
        <v>15</v>
      </c>
      <c r="H1627" s="3">
        <f>G1627*4+F1627*9+E1627*4</f>
        <v>60.8</v>
      </c>
      <c r="I1627" s="294" t="s">
        <v>270</v>
      </c>
      <c r="J1627" s="9"/>
    </row>
    <row r="1628" spans="1:10" ht="30" customHeight="1">
      <c r="A1628" s="53" t="s">
        <v>113</v>
      </c>
      <c r="B1628" s="57">
        <v>2</v>
      </c>
      <c r="C1628" s="57">
        <v>2</v>
      </c>
      <c r="D1628" s="47"/>
      <c r="E1628" s="231"/>
      <c r="F1628" s="231"/>
      <c r="G1628" s="35"/>
      <c r="H1628" s="26"/>
      <c r="I1628" s="297"/>
      <c r="J1628" s="18"/>
    </row>
    <row r="1629" spans="1:10" ht="30" customHeight="1">
      <c r="A1629" s="89" t="s">
        <v>94</v>
      </c>
      <c r="B1629" s="58">
        <v>15</v>
      </c>
      <c r="C1629" s="58">
        <v>15</v>
      </c>
      <c r="D1629" s="47"/>
      <c r="E1629" s="47"/>
      <c r="F1629" s="47"/>
      <c r="G1629" s="47"/>
      <c r="H1629" s="46"/>
      <c r="I1629" s="296"/>
      <c r="J1629" s="9"/>
    </row>
    <row r="1630" spans="1:10" ht="30" customHeight="1">
      <c r="A1630" s="683" t="s">
        <v>314</v>
      </c>
      <c r="B1630" s="683"/>
      <c r="C1630" s="683"/>
      <c r="D1630" s="4">
        <v>100</v>
      </c>
      <c r="E1630" s="242">
        <v>0.1</v>
      </c>
      <c r="F1630" s="242">
        <v>0.2</v>
      </c>
      <c r="G1630" s="242">
        <v>5.7</v>
      </c>
      <c r="H1630" s="3">
        <f>E1630*4+F1630*9+G1630*4</f>
        <v>25</v>
      </c>
      <c r="I1630" s="305" t="s">
        <v>224</v>
      </c>
      <c r="J1630" s="9"/>
    </row>
    <row r="1631" spans="1:10" ht="30" customHeight="1">
      <c r="A1631" s="674" t="s">
        <v>34</v>
      </c>
      <c r="B1631" s="674"/>
      <c r="C1631" s="674"/>
      <c r="D1631" s="1">
        <v>20</v>
      </c>
      <c r="E1631" s="2">
        <v>0.7</v>
      </c>
      <c r="F1631" s="2">
        <v>0.1</v>
      </c>
      <c r="G1631" s="2">
        <v>9.4</v>
      </c>
      <c r="H1631" s="3">
        <v>40.52</v>
      </c>
      <c r="I1631" s="294"/>
      <c r="J1631" s="9"/>
    </row>
    <row r="1632" spans="1:10" ht="30" customHeight="1">
      <c r="A1632" s="675" t="s">
        <v>145</v>
      </c>
      <c r="B1632" s="675"/>
      <c r="C1632" s="675"/>
      <c r="D1632" s="1">
        <v>20</v>
      </c>
      <c r="E1632" s="2"/>
      <c r="F1632" s="2"/>
      <c r="G1632" s="2"/>
      <c r="H1632" s="3"/>
      <c r="I1632" s="294"/>
      <c r="J1632" s="9"/>
    </row>
    <row r="1633" spans="1:10" ht="30" customHeight="1">
      <c r="A1633" s="690" t="s">
        <v>205</v>
      </c>
      <c r="B1633" s="690"/>
      <c r="C1633" s="690"/>
      <c r="D1633" s="243">
        <f>D1634+275+D1659+D1668+D1675</f>
        <v>855</v>
      </c>
      <c r="E1633" s="227">
        <f>E1634+E1643+E1659+E1668+E1675+E1678+E1680</f>
        <v>31.279999999999994</v>
      </c>
      <c r="F1633" s="227">
        <f>F1634+F1643+F1659+F1668+F1675+F1678+F1680</f>
        <v>32.66</v>
      </c>
      <c r="G1633" s="227">
        <f>G1634+G1643+G1659+G1668+G1675+G1678+G1680</f>
        <v>115.68</v>
      </c>
      <c r="H1633" s="513">
        <f>H1634+H1643+H1659+H1668+H1675+H1678+H1680</f>
        <v>881.78</v>
      </c>
      <c r="I1633" s="303"/>
      <c r="J1633" s="9"/>
    </row>
    <row r="1634" spans="1:10" ht="30" customHeight="1">
      <c r="A1634" s="671" t="s">
        <v>568</v>
      </c>
      <c r="B1634" s="671"/>
      <c r="C1634" s="671"/>
      <c r="D1634" s="1">
        <v>100</v>
      </c>
      <c r="E1634" s="2">
        <v>1.6</v>
      </c>
      <c r="F1634" s="2">
        <v>5</v>
      </c>
      <c r="G1634" s="2">
        <v>9.7</v>
      </c>
      <c r="H1634" s="3">
        <f>E1634*4+F1634*9+G1634*4</f>
        <v>90.19999999999999</v>
      </c>
      <c r="I1634" s="297" t="s">
        <v>569</v>
      </c>
      <c r="J1634" s="9"/>
    </row>
    <row r="1635" spans="1:10" ht="30" customHeight="1">
      <c r="A1635" s="585" t="s">
        <v>551</v>
      </c>
      <c r="B1635" s="46">
        <f>C1635*1.25</f>
        <v>157.5</v>
      </c>
      <c r="C1635" s="47">
        <v>126</v>
      </c>
      <c r="D1635" s="266"/>
      <c r="E1635" s="50"/>
      <c r="F1635" s="50"/>
      <c r="G1635" s="50"/>
      <c r="H1635" s="50"/>
      <c r="I1635" s="468"/>
      <c r="J1635" s="36"/>
    </row>
    <row r="1636" spans="1:10" ht="30" customHeight="1">
      <c r="A1636" s="585" t="s">
        <v>518</v>
      </c>
      <c r="B1636" s="46"/>
      <c r="C1636" s="47">
        <v>80</v>
      </c>
      <c r="D1636" s="266"/>
      <c r="E1636" s="50"/>
      <c r="F1636" s="50"/>
      <c r="G1636" s="50"/>
      <c r="H1636" s="50"/>
      <c r="I1636" s="468"/>
      <c r="J1636" s="9"/>
    </row>
    <row r="1637" spans="1:10" ht="30" customHeight="1">
      <c r="A1637" s="585" t="s">
        <v>570</v>
      </c>
      <c r="B1637" s="46">
        <f>C1637*2.38</f>
        <v>11.899999999999999</v>
      </c>
      <c r="C1637" s="47">
        <v>5</v>
      </c>
      <c r="D1637" s="266"/>
      <c r="E1637" s="50"/>
      <c r="F1637" s="50"/>
      <c r="G1637" s="50"/>
      <c r="H1637" s="46"/>
      <c r="I1637" s="470"/>
      <c r="J1637" s="9"/>
    </row>
    <row r="1638" spans="1:21" ht="30" customHeight="1">
      <c r="A1638" s="585" t="s">
        <v>39</v>
      </c>
      <c r="B1638" s="50">
        <v>1.2</v>
      </c>
      <c r="C1638" s="47">
        <v>1.2</v>
      </c>
      <c r="D1638" s="266"/>
      <c r="E1638" s="50"/>
      <c r="F1638" s="50"/>
      <c r="G1638" s="50"/>
      <c r="H1638" s="46"/>
      <c r="I1638" s="470"/>
      <c r="J1638" s="9"/>
      <c r="S1638" s="40"/>
      <c r="T1638" s="40"/>
      <c r="U1638" s="40"/>
    </row>
    <row r="1639" spans="1:10" ht="30" customHeight="1">
      <c r="A1639" s="100" t="s">
        <v>488</v>
      </c>
      <c r="B1639" s="46">
        <f>C1639*1.25</f>
        <v>15</v>
      </c>
      <c r="C1639" s="47">
        <v>12</v>
      </c>
      <c r="D1639" s="266"/>
      <c r="E1639" s="50"/>
      <c r="F1639" s="2"/>
      <c r="G1639" s="2"/>
      <c r="H1639" s="3"/>
      <c r="I1639" s="320"/>
      <c r="J1639" s="9"/>
    </row>
    <row r="1640" spans="1:10" ht="30" customHeight="1">
      <c r="A1640" s="100" t="s">
        <v>43</v>
      </c>
      <c r="B1640" s="46">
        <f>C1640*1.33</f>
        <v>15.96</v>
      </c>
      <c r="C1640" s="47">
        <v>12</v>
      </c>
      <c r="D1640" s="266"/>
      <c r="E1640" s="50"/>
      <c r="F1640" s="2"/>
      <c r="G1640" s="2"/>
      <c r="H1640" s="3"/>
      <c r="I1640" s="320"/>
      <c r="J1640" s="9"/>
    </row>
    <row r="1641" spans="1:10" ht="30" customHeight="1">
      <c r="A1641" s="685" t="s">
        <v>519</v>
      </c>
      <c r="B1641" s="685"/>
      <c r="C1641" s="685"/>
      <c r="D1641" s="266"/>
      <c r="E1641" s="50"/>
      <c r="F1641" s="50"/>
      <c r="G1641" s="50"/>
      <c r="H1641" s="3"/>
      <c r="I1641" s="320"/>
      <c r="J1641" s="9"/>
    </row>
    <row r="1642" spans="1:10" ht="30" customHeight="1">
      <c r="A1642" s="100" t="s">
        <v>44</v>
      </c>
      <c r="B1642" s="46">
        <v>5</v>
      </c>
      <c r="C1642" s="46">
        <v>5</v>
      </c>
      <c r="D1642" s="266"/>
      <c r="E1642" s="50"/>
      <c r="F1642" s="2"/>
      <c r="G1642" s="2"/>
      <c r="H1642" s="3"/>
      <c r="I1642" s="320"/>
      <c r="J1642" s="9"/>
    </row>
    <row r="1643" spans="1:10" ht="30" customHeight="1">
      <c r="A1643" s="671" t="s">
        <v>572</v>
      </c>
      <c r="B1643" s="671"/>
      <c r="C1643" s="671"/>
      <c r="D1643" s="668" t="s">
        <v>206</v>
      </c>
      <c r="E1643" s="21">
        <v>5</v>
      </c>
      <c r="F1643" s="21">
        <v>5.7</v>
      </c>
      <c r="G1643" s="21">
        <v>21</v>
      </c>
      <c r="H1643" s="238">
        <f>G1643*4+F1643*9+E1643*4</f>
        <v>155.3</v>
      </c>
      <c r="I1643" s="294" t="s">
        <v>246</v>
      </c>
      <c r="J1643" s="9"/>
    </row>
    <row r="1644" spans="1:10" ht="30" customHeight="1">
      <c r="A1644" s="54" t="s">
        <v>45</v>
      </c>
      <c r="B1644" s="37">
        <f>C1644*1.36</f>
        <v>21.76</v>
      </c>
      <c r="C1644" s="57">
        <v>16</v>
      </c>
      <c r="D1644" s="218"/>
      <c r="E1644" s="225"/>
      <c r="F1644" s="225"/>
      <c r="G1644" s="225"/>
      <c r="H1644" s="233"/>
      <c r="I1644" s="305"/>
      <c r="J1644" s="9"/>
    </row>
    <row r="1645" spans="1:10" ht="30" customHeight="1">
      <c r="A1645" s="54" t="s">
        <v>46</v>
      </c>
      <c r="B1645" s="37">
        <f>C1645*1.18</f>
        <v>18.88</v>
      </c>
      <c r="C1645" s="57">
        <v>16</v>
      </c>
      <c r="D1645" s="218"/>
      <c r="E1645" s="225"/>
      <c r="F1645" s="2"/>
      <c r="G1645" s="63"/>
      <c r="H1645" s="105"/>
      <c r="I1645" s="307"/>
      <c r="J1645" s="9"/>
    </row>
    <row r="1646" spans="1:18" ht="30" customHeight="1">
      <c r="A1646" s="53" t="s">
        <v>147</v>
      </c>
      <c r="B1646" s="107">
        <f>C1646*1.25</f>
        <v>80</v>
      </c>
      <c r="C1646" s="57">
        <v>64</v>
      </c>
      <c r="D1646" s="632"/>
      <c r="E1646" s="21"/>
      <c r="F1646" s="21"/>
      <c r="G1646" s="21"/>
      <c r="H1646" s="238"/>
      <c r="I1646" s="299"/>
      <c r="J1646" s="9"/>
      <c r="L1646" s="91"/>
      <c r="M1646" s="91"/>
      <c r="N1646" s="40"/>
      <c r="O1646" s="40"/>
      <c r="P1646" s="40"/>
      <c r="Q1646" s="40"/>
      <c r="R1646" s="40"/>
    </row>
    <row r="1647" spans="1:13" ht="30" customHeight="1">
      <c r="A1647" s="59" t="s">
        <v>43</v>
      </c>
      <c r="B1647" s="49">
        <f>C1647*1.33</f>
        <v>85.12</v>
      </c>
      <c r="C1647" s="52">
        <v>64</v>
      </c>
      <c r="D1647" s="1"/>
      <c r="E1647" s="2"/>
      <c r="F1647" s="2"/>
      <c r="G1647" s="2"/>
      <c r="H1647" s="3"/>
      <c r="I1647" s="299"/>
      <c r="J1647" s="9"/>
      <c r="L1647" s="430"/>
      <c r="M1647" s="91"/>
    </row>
    <row r="1648" spans="1:13" ht="30" customHeight="1">
      <c r="A1648" s="89" t="s">
        <v>47</v>
      </c>
      <c r="B1648" s="57">
        <f>C1648*1.33</f>
        <v>57.190000000000005</v>
      </c>
      <c r="C1648" s="57">
        <v>43</v>
      </c>
      <c r="D1648" s="632"/>
      <c r="E1648" s="21"/>
      <c r="F1648" s="21"/>
      <c r="G1648" s="21"/>
      <c r="H1648" s="238"/>
      <c r="I1648" s="299"/>
      <c r="J1648" s="9"/>
      <c r="L1648" s="151"/>
      <c r="M1648" s="431"/>
    </row>
    <row r="1649" spans="1:13" ht="30" customHeight="1">
      <c r="A1649" s="89" t="s">
        <v>48</v>
      </c>
      <c r="B1649" s="57">
        <f>C1649*1.43</f>
        <v>61.489999999999995</v>
      </c>
      <c r="C1649" s="57">
        <v>43</v>
      </c>
      <c r="D1649" s="632"/>
      <c r="E1649" s="21"/>
      <c r="F1649" s="21"/>
      <c r="G1649" s="21"/>
      <c r="H1649" s="238"/>
      <c r="I1649" s="299"/>
      <c r="J1649" s="9"/>
      <c r="L1649" s="151"/>
      <c r="M1649" s="431"/>
    </row>
    <row r="1650" spans="1:13" ht="30" customHeight="1">
      <c r="A1650" s="100" t="s">
        <v>49</v>
      </c>
      <c r="B1650" s="46">
        <f>C1650*1.54</f>
        <v>66.22</v>
      </c>
      <c r="C1650" s="52">
        <v>43</v>
      </c>
      <c r="D1650" s="1"/>
      <c r="E1650" s="2"/>
      <c r="F1650" s="2"/>
      <c r="G1650" s="2"/>
      <c r="H1650" s="3"/>
      <c r="I1650" s="299"/>
      <c r="J1650" s="9"/>
      <c r="L1650" s="152"/>
      <c r="M1650" s="88"/>
    </row>
    <row r="1651" spans="1:13" ht="30" customHeight="1">
      <c r="A1651" s="100" t="s">
        <v>50</v>
      </c>
      <c r="B1651" s="46">
        <f>C1651*1.67</f>
        <v>71.81</v>
      </c>
      <c r="C1651" s="52">
        <v>43</v>
      </c>
      <c r="D1651" s="1"/>
      <c r="E1651" s="2"/>
      <c r="F1651" s="2"/>
      <c r="G1651" s="2"/>
      <c r="H1651" s="3"/>
      <c r="I1651" s="299"/>
      <c r="J1651" s="9"/>
      <c r="L1651" s="152"/>
      <c r="M1651" s="431"/>
    </row>
    <row r="1652" spans="1:13" ht="30" customHeight="1">
      <c r="A1652" s="53" t="s">
        <v>112</v>
      </c>
      <c r="B1652" s="38">
        <f>C1652*1.25</f>
        <v>12.5</v>
      </c>
      <c r="C1652" s="57">
        <v>10</v>
      </c>
      <c r="D1652" s="632"/>
      <c r="E1652" s="21"/>
      <c r="F1652" s="21"/>
      <c r="G1652" s="21"/>
      <c r="H1652" s="238"/>
      <c r="I1652" s="299"/>
      <c r="J1652" s="9"/>
      <c r="L1652" s="151"/>
      <c r="M1652" s="431"/>
    </row>
    <row r="1653" spans="1:13" ht="30" customHeight="1">
      <c r="A1653" s="59" t="s">
        <v>43</v>
      </c>
      <c r="B1653" s="269">
        <f>C1653*1.33</f>
        <v>13.3</v>
      </c>
      <c r="C1653" s="57">
        <v>10</v>
      </c>
      <c r="D1653" s="632"/>
      <c r="E1653" s="21"/>
      <c r="F1653" s="21"/>
      <c r="G1653" s="21"/>
      <c r="H1653" s="238"/>
      <c r="I1653" s="299"/>
      <c r="J1653" s="9"/>
      <c r="L1653" s="151"/>
      <c r="M1653" s="431"/>
    </row>
    <row r="1654" spans="1:13" ht="30" customHeight="1">
      <c r="A1654" s="101" t="s">
        <v>51</v>
      </c>
      <c r="B1654" s="107">
        <f>C1654*1.19</f>
        <v>13.09</v>
      </c>
      <c r="C1654" s="57">
        <v>11</v>
      </c>
      <c r="D1654" s="632"/>
      <c r="E1654" s="21"/>
      <c r="F1654" s="21"/>
      <c r="G1654" s="21"/>
      <c r="H1654" s="238"/>
      <c r="I1654" s="299"/>
      <c r="J1654" s="9"/>
      <c r="L1654" s="151"/>
      <c r="M1654" s="91"/>
    </row>
    <row r="1655" spans="1:13" ht="30" customHeight="1">
      <c r="A1655" s="89" t="s">
        <v>83</v>
      </c>
      <c r="B1655" s="57">
        <v>3</v>
      </c>
      <c r="C1655" s="57">
        <v>3</v>
      </c>
      <c r="D1655" s="632"/>
      <c r="E1655" s="21"/>
      <c r="F1655" s="21"/>
      <c r="G1655" s="21"/>
      <c r="H1655" s="238"/>
      <c r="I1655" s="299"/>
      <c r="J1655" s="9"/>
      <c r="L1655" s="151"/>
      <c r="M1655" s="91"/>
    </row>
    <row r="1656" spans="1:10" ht="30" customHeight="1">
      <c r="A1656" s="89" t="s">
        <v>70</v>
      </c>
      <c r="B1656" s="107">
        <v>5</v>
      </c>
      <c r="C1656" s="107">
        <v>5</v>
      </c>
      <c r="D1656" s="632"/>
      <c r="E1656" s="21"/>
      <c r="F1656" s="21"/>
      <c r="G1656" s="21"/>
      <c r="H1656" s="238"/>
      <c r="I1656" s="299"/>
      <c r="J1656" s="9"/>
    </row>
    <row r="1657" spans="1:18" ht="30" customHeight="1">
      <c r="A1657" s="59" t="s">
        <v>39</v>
      </c>
      <c r="B1657" s="269">
        <v>0.6</v>
      </c>
      <c r="C1657" s="269">
        <v>0.6</v>
      </c>
      <c r="D1657" s="632"/>
      <c r="E1657" s="21"/>
      <c r="F1657" s="21"/>
      <c r="G1657" s="21"/>
      <c r="H1657" s="238"/>
      <c r="I1657" s="299"/>
      <c r="J1657" s="9"/>
      <c r="N1657" s="83"/>
      <c r="O1657" s="83"/>
      <c r="P1657" s="83"/>
      <c r="Q1657" s="83"/>
      <c r="R1657" s="83"/>
    </row>
    <row r="1658" spans="1:10" ht="30" customHeight="1">
      <c r="A1658" s="89" t="s">
        <v>52</v>
      </c>
      <c r="B1658" s="58">
        <v>5</v>
      </c>
      <c r="C1658" s="58">
        <v>5</v>
      </c>
      <c r="D1658" s="276"/>
      <c r="E1658" s="242"/>
      <c r="F1658" s="242"/>
      <c r="G1658" s="242"/>
      <c r="H1658" s="238"/>
      <c r="I1658" s="299"/>
      <c r="J1658" s="9"/>
    </row>
    <row r="1659" spans="1:21" ht="30" customHeight="1">
      <c r="A1659" s="683" t="s">
        <v>600</v>
      </c>
      <c r="B1659" s="683"/>
      <c r="C1659" s="683"/>
      <c r="D1659" s="1">
        <v>100</v>
      </c>
      <c r="E1659" s="2">
        <v>16.2</v>
      </c>
      <c r="F1659" s="2">
        <v>15.1</v>
      </c>
      <c r="G1659" s="2">
        <v>0.7</v>
      </c>
      <c r="H1659" s="3">
        <f>E1659*4+F1659*9+G1659*4</f>
        <v>203.5</v>
      </c>
      <c r="I1659" s="294" t="s">
        <v>601</v>
      </c>
      <c r="J1659" s="9"/>
      <c r="S1659" s="40"/>
      <c r="T1659" s="40"/>
      <c r="U1659" s="40"/>
    </row>
    <row r="1660" spans="1:10" ht="30" customHeight="1">
      <c r="A1660" s="54" t="s">
        <v>602</v>
      </c>
      <c r="B1660" s="159">
        <f>C1660*1.12</f>
        <v>166.88000000000002</v>
      </c>
      <c r="C1660" s="46">
        <v>149</v>
      </c>
      <c r="D1660" s="33"/>
      <c r="E1660" s="241"/>
      <c r="F1660" s="241"/>
      <c r="G1660" s="241"/>
      <c r="H1660" s="24"/>
      <c r="I1660" s="311"/>
      <c r="J1660" s="9"/>
    </row>
    <row r="1661" spans="1:10" ht="30" customHeight="1">
      <c r="A1661" s="54" t="s">
        <v>603</v>
      </c>
      <c r="B1661" s="159">
        <f>C1661*1.054</f>
        <v>157.04600000000002</v>
      </c>
      <c r="C1661" s="46">
        <v>149</v>
      </c>
      <c r="D1661" s="650"/>
      <c r="E1661" s="594"/>
      <c r="F1661" s="594"/>
      <c r="G1661" s="594"/>
      <c r="H1661" s="595"/>
      <c r="I1661" s="297"/>
      <c r="J1661" s="9"/>
    </row>
    <row r="1662" spans="1:10" ht="30" customHeight="1">
      <c r="A1662" s="651" t="s">
        <v>604</v>
      </c>
      <c r="B1662" s="159">
        <f>C1662*1.054</f>
        <v>157.04600000000002</v>
      </c>
      <c r="C1662" s="46">
        <v>149</v>
      </c>
      <c r="D1662" s="650"/>
      <c r="E1662" s="594"/>
      <c r="F1662" s="594"/>
      <c r="G1662" s="594"/>
      <c r="H1662" s="595"/>
      <c r="I1662" s="297"/>
      <c r="J1662" s="9"/>
    </row>
    <row r="1663" spans="1:10" ht="30" customHeight="1">
      <c r="A1663" s="171" t="s">
        <v>332</v>
      </c>
      <c r="B1663" s="126">
        <f>C1663*1.054</f>
        <v>134.912</v>
      </c>
      <c r="C1663" s="23">
        <v>128</v>
      </c>
      <c r="D1663" s="282"/>
      <c r="E1663" s="440"/>
      <c r="F1663" s="33"/>
      <c r="G1663" s="33"/>
      <c r="H1663" s="24"/>
      <c r="I1663" s="441"/>
      <c r="J1663" s="9"/>
    </row>
    <row r="1664" spans="1:10" ht="30" customHeight="1">
      <c r="A1664" s="89" t="s">
        <v>83</v>
      </c>
      <c r="B1664" s="58">
        <v>3</v>
      </c>
      <c r="C1664" s="58">
        <v>3</v>
      </c>
      <c r="D1664" s="47"/>
      <c r="E1664" s="50"/>
      <c r="F1664" s="50"/>
      <c r="G1664" s="50"/>
      <c r="H1664" s="46"/>
      <c r="I1664" s="296"/>
      <c r="J1664" s="9"/>
    </row>
    <row r="1665" spans="1:10" ht="30" customHeight="1">
      <c r="A1665" s="89" t="s">
        <v>52</v>
      </c>
      <c r="B1665" s="58">
        <v>3</v>
      </c>
      <c r="C1665" s="58">
        <v>3</v>
      </c>
      <c r="D1665" s="47"/>
      <c r="E1665" s="50"/>
      <c r="F1665" s="50"/>
      <c r="G1665" s="50"/>
      <c r="H1665" s="46"/>
      <c r="I1665" s="296"/>
      <c r="J1665" s="9"/>
    </row>
    <row r="1666" spans="1:10" ht="30" customHeight="1">
      <c r="A1666" s="89" t="s">
        <v>605</v>
      </c>
      <c r="B1666" s="32">
        <f>C1666*1.28</f>
        <v>0.64</v>
      </c>
      <c r="C1666" s="23">
        <v>0.5</v>
      </c>
      <c r="D1666" s="47"/>
      <c r="E1666" s="50"/>
      <c r="F1666" s="50"/>
      <c r="G1666" s="50"/>
      <c r="H1666" s="46"/>
      <c r="I1666" s="296"/>
      <c r="J1666" s="9"/>
    </row>
    <row r="1667" spans="1:10" ht="30" customHeight="1">
      <c r="A1667" s="89" t="s">
        <v>44</v>
      </c>
      <c r="B1667" s="57">
        <v>2</v>
      </c>
      <c r="C1667" s="57">
        <v>2</v>
      </c>
      <c r="D1667" s="47"/>
      <c r="E1667" s="50"/>
      <c r="F1667" s="50"/>
      <c r="G1667" s="50"/>
      <c r="H1667" s="46"/>
      <c r="I1667" s="305"/>
      <c r="J1667" s="9"/>
    </row>
    <row r="1668" spans="1:10" ht="30" customHeight="1">
      <c r="A1668" s="677" t="s">
        <v>263</v>
      </c>
      <c r="B1668" s="677"/>
      <c r="C1668" s="677"/>
      <c r="D1668" s="1">
        <v>180</v>
      </c>
      <c r="E1668" s="63">
        <v>3.9</v>
      </c>
      <c r="F1668" s="63">
        <v>5.9</v>
      </c>
      <c r="G1668" s="63">
        <v>26.7</v>
      </c>
      <c r="H1668" s="3">
        <f>E1668*4+F1668*9+G1668*4</f>
        <v>175.5</v>
      </c>
      <c r="I1668" s="294" t="s">
        <v>264</v>
      </c>
      <c r="J1668" s="9"/>
    </row>
    <row r="1669" spans="1:21" ht="30" customHeight="1">
      <c r="A1669" s="20" t="s">
        <v>47</v>
      </c>
      <c r="B1669" s="45">
        <f>C1669*1.33</f>
        <v>204.82000000000002</v>
      </c>
      <c r="C1669" s="23">
        <v>154</v>
      </c>
      <c r="D1669" s="22"/>
      <c r="E1669" s="43"/>
      <c r="F1669" s="43"/>
      <c r="G1669" s="43"/>
      <c r="H1669" s="26"/>
      <c r="I1669" s="304"/>
      <c r="J1669" s="10"/>
      <c r="S1669" s="40"/>
      <c r="T1669" s="40"/>
      <c r="U1669" s="40"/>
    </row>
    <row r="1670" spans="1:10" ht="30" customHeight="1">
      <c r="A1670" s="53" t="s">
        <v>48</v>
      </c>
      <c r="B1670" s="45">
        <f>C1670*1.43</f>
        <v>220.22</v>
      </c>
      <c r="C1670" s="23">
        <v>154</v>
      </c>
      <c r="D1670" s="22"/>
      <c r="E1670" s="43"/>
      <c r="F1670" s="43"/>
      <c r="G1670" s="43"/>
      <c r="H1670" s="26"/>
      <c r="I1670" s="304"/>
      <c r="J1670" s="39"/>
    </row>
    <row r="1671" spans="1:14" ht="30" customHeight="1">
      <c r="A1671" s="20" t="s">
        <v>49</v>
      </c>
      <c r="B1671" s="45">
        <f>C1671*1.54</f>
        <v>237.16</v>
      </c>
      <c r="C1671" s="23">
        <v>154</v>
      </c>
      <c r="D1671" s="22"/>
      <c r="E1671" s="43"/>
      <c r="F1671" s="43"/>
      <c r="G1671" s="43"/>
      <c r="H1671" s="26"/>
      <c r="I1671" s="304"/>
      <c r="J1671" s="39"/>
      <c r="N1671" s="40"/>
    </row>
    <row r="1672" spans="1:10" ht="30" customHeight="1">
      <c r="A1672" s="20" t="s">
        <v>50</v>
      </c>
      <c r="B1672" s="45">
        <f>C1672*1.67</f>
        <v>257.18</v>
      </c>
      <c r="C1672" s="23">
        <v>154</v>
      </c>
      <c r="D1672" s="22"/>
      <c r="E1672" s="43"/>
      <c r="F1672" s="43"/>
      <c r="G1672" s="43"/>
      <c r="H1672" s="26"/>
      <c r="I1672" s="304"/>
      <c r="J1672" s="10"/>
    </row>
    <row r="1673" spans="1:21" ht="30" customHeight="1">
      <c r="A1673" s="53" t="s">
        <v>63</v>
      </c>
      <c r="B1673" s="23">
        <v>29</v>
      </c>
      <c r="C1673" s="23">
        <v>29</v>
      </c>
      <c r="D1673" s="22"/>
      <c r="E1673" s="43"/>
      <c r="F1673" s="43"/>
      <c r="G1673" s="43"/>
      <c r="H1673" s="26"/>
      <c r="I1673" s="304"/>
      <c r="J1673" s="10"/>
      <c r="S1673" s="40"/>
      <c r="T1673" s="40"/>
      <c r="U1673" s="40"/>
    </row>
    <row r="1674" spans="1:10" ht="30" customHeight="1">
      <c r="A1674" s="89" t="s">
        <v>40</v>
      </c>
      <c r="B1674" s="23">
        <v>7</v>
      </c>
      <c r="C1674" s="23">
        <v>7</v>
      </c>
      <c r="D1674" s="43"/>
      <c r="E1674" s="43"/>
      <c r="F1674" s="43"/>
      <c r="G1674" s="43"/>
      <c r="H1674" s="26"/>
      <c r="I1674" s="304"/>
      <c r="J1674" s="10"/>
    </row>
    <row r="1675" spans="1:10" ht="30" customHeight="1">
      <c r="A1675" s="672" t="s">
        <v>256</v>
      </c>
      <c r="B1675" s="672"/>
      <c r="C1675" s="672"/>
      <c r="D1675" s="275">
        <v>200</v>
      </c>
      <c r="E1675" s="242">
        <v>0.7</v>
      </c>
      <c r="F1675" s="242">
        <v>0</v>
      </c>
      <c r="G1675" s="242">
        <v>23.9</v>
      </c>
      <c r="H1675" s="238">
        <f>E1675*4+F1675*9+G1675*4</f>
        <v>98.39999999999999</v>
      </c>
      <c r="I1675" s="300" t="s">
        <v>257</v>
      </c>
      <c r="J1675" s="10"/>
    </row>
    <row r="1676" spans="1:10" ht="30" customHeight="1">
      <c r="A1676" s="53" t="s">
        <v>216</v>
      </c>
      <c r="B1676" s="23">
        <v>20.3</v>
      </c>
      <c r="C1676" s="23">
        <v>20</v>
      </c>
      <c r="D1676" s="23"/>
      <c r="E1676" s="32"/>
      <c r="F1676" s="32"/>
      <c r="G1676" s="32"/>
      <c r="H1676" s="45"/>
      <c r="I1676" s="300"/>
      <c r="J1676" s="10"/>
    </row>
    <row r="1677" spans="1:10" ht="30" customHeight="1">
      <c r="A1677" s="106" t="s">
        <v>39</v>
      </c>
      <c r="B1677" s="58">
        <v>15</v>
      </c>
      <c r="C1677" s="58">
        <v>15</v>
      </c>
      <c r="D1677" s="58"/>
      <c r="E1677" s="38"/>
      <c r="F1677" s="38"/>
      <c r="G1677" s="38"/>
      <c r="H1677" s="57"/>
      <c r="I1677" s="306"/>
      <c r="J1677" s="10"/>
    </row>
    <row r="1678" spans="1:10" ht="30" customHeight="1">
      <c r="A1678" s="674" t="s">
        <v>34</v>
      </c>
      <c r="B1678" s="674"/>
      <c r="C1678" s="674"/>
      <c r="D1678" s="1">
        <v>40</v>
      </c>
      <c r="E1678" s="2">
        <v>1.88</v>
      </c>
      <c r="F1678" s="2">
        <v>0.4</v>
      </c>
      <c r="G1678" s="2">
        <v>17.48</v>
      </c>
      <c r="H1678" s="3">
        <v>81.04</v>
      </c>
      <c r="I1678" s="294"/>
      <c r="J1678" s="10"/>
    </row>
    <row r="1679" spans="1:10" ht="30" customHeight="1">
      <c r="A1679" s="675" t="s">
        <v>145</v>
      </c>
      <c r="B1679" s="675"/>
      <c r="C1679" s="675"/>
      <c r="D1679" s="1">
        <v>40</v>
      </c>
      <c r="E1679" s="2"/>
      <c r="F1679" s="2"/>
      <c r="G1679" s="2"/>
      <c r="H1679" s="3"/>
      <c r="I1679" s="294"/>
      <c r="J1679" s="10"/>
    </row>
    <row r="1680" spans="1:18" ht="30" customHeight="1">
      <c r="A1680" s="674" t="s">
        <v>74</v>
      </c>
      <c r="B1680" s="674"/>
      <c r="C1680" s="674"/>
      <c r="D1680" s="3">
        <v>40</v>
      </c>
      <c r="E1680" s="2">
        <v>2</v>
      </c>
      <c r="F1680" s="2">
        <v>0.56</v>
      </c>
      <c r="G1680" s="2">
        <v>16.2</v>
      </c>
      <c r="H1680" s="3">
        <v>77.84</v>
      </c>
      <c r="I1680" s="294"/>
      <c r="J1680" s="10"/>
      <c r="O1680" s="40"/>
      <c r="P1680" s="40"/>
      <c r="Q1680" s="40"/>
      <c r="R1680" s="40"/>
    </row>
    <row r="1681" spans="1:10" ht="30" customHeight="1">
      <c r="A1681" s="675" t="s">
        <v>72</v>
      </c>
      <c r="B1681" s="675"/>
      <c r="C1681" s="675"/>
      <c r="D1681" s="1">
        <v>40</v>
      </c>
      <c r="E1681" s="2"/>
      <c r="F1681" s="2"/>
      <c r="G1681" s="2"/>
      <c r="H1681" s="3"/>
      <c r="I1681" s="294"/>
      <c r="J1681" s="10"/>
    </row>
    <row r="1682" spans="1:10" ht="30" customHeight="1">
      <c r="A1682" s="698" t="s">
        <v>202</v>
      </c>
      <c r="B1682" s="698"/>
      <c r="C1682" s="698"/>
      <c r="D1682" s="266"/>
      <c r="E1682" s="235">
        <f>E1609+E1633</f>
        <v>56.58</v>
      </c>
      <c r="F1682" s="235">
        <f>F1609+F1633</f>
        <v>56.25999999999999</v>
      </c>
      <c r="G1682" s="235">
        <f>G1609+G1633</f>
        <v>206.08</v>
      </c>
      <c r="H1682" s="267">
        <f>H1609+H1633</f>
        <v>1556.1999999999998</v>
      </c>
      <c r="I1682" s="302"/>
      <c r="J1682" s="10"/>
    </row>
    <row r="1683" spans="1:10" ht="30" customHeight="1">
      <c r="A1683" s="694" t="s">
        <v>304</v>
      </c>
      <c r="B1683" s="695"/>
      <c r="C1683" s="695"/>
      <c r="D1683" s="695"/>
      <c r="E1683" s="235">
        <f>(E1682+E1605+E1497+E1384+E1302+E1232)/6</f>
        <v>53.85317663817663</v>
      </c>
      <c r="F1683" s="235">
        <f>(F1682+F1605+F1497+F1384+F1302+F1232)/6</f>
        <v>51.63073056573055</v>
      </c>
      <c r="G1683" s="235">
        <f>(G1682+G1605+G1497+G1384+G1302+G1232)/6</f>
        <v>209.9741493691494</v>
      </c>
      <c r="H1683" s="235">
        <f>(H1682+H1605+H1497+H1384+H1302+H1232)/6</f>
        <v>1519.5958791208793</v>
      </c>
      <c r="I1683" s="696" t="s">
        <v>310</v>
      </c>
      <c r="J1683" s="10"/>
    </row>
    <row r="1684" spans="1:14" ht="30" customHeight="1">
      <c r="A1684" s="697" t="s">
        <v>305</v>
      </c>
      <c r="B1684" s="695"/>
      <c r="C1684" s="695"/>
      <c r="D1684" s="695"/>
      <c r="E1684" s="350" t="s">
        <v>306</v>
      </c>
      <c r="F1684" s="350" t="s">
        <v>307</v>
      </c>
      <c r="G1684" s="350" t="s">
        <v>308</v>
      </c>
      <c r="H1684" s="350" t="s">
        <v>309</v>
      </c>
      <c r="I1684" s="696"/>
      <c r="J1684" s="10"/>
      <c r="N1684" s="40"/>
    </row>
    <row r="1685" spans="1:10" ht="30" customHeight="1">
      <c r="A1685" s="694" t="s">
        <v>204</v>
      </c>
      <c r="B1685" s="695"/>
      <c r="C1685" s="695"/>
      <c r="D1685" s="695"/>
      <c r="E1685" s="235">
        <v>90</v>
      </c>
      <c r="F1685" s="235">
        <v>92</v>
      </c>
      <c r="G1685" s="235">
        <v>383</v>
      </c>
      <c r="H1685" s="235">
        <v>2720</v>
      </c>
      <c r="I1685" s="318"/>
      <c r="J1685" s="10"/>
    </row>
    <row r="1686" spans="1:10" ht="30" customHeight="1">
      <c r="A1686" s="713" t="s">
        <v>387</v>
      </c>
      <c r="B1686" s="713"/>
      <c r="C1686" s="713"/>
      <c r="D1686" s="713"/>
      <c r="E1686" s="713"/>
      <c r="F1686" s="713"/>
      <c r="G1686" s="713"/>
      <c r="H1686" s="713"/>
      <c r="I1686" s="713"/>
      <c r="J1686" s="10"/>
    </row>
    <row r="1687" ht="30" customHeight="1">
      <c r="J1687" s="10"/>
    </row>
    <row r="1688" ht="30" customHeight="1">
      <c r="J1688" s="10"/>
    </row>
    <row r="1689" ht="30" customHeight="1">
      <c r="J1689" s="10"/>
    </row>
    <row r="1690" ht="30" customHeight="1">
      <c r="J1690" s="10"/>
    </row>
    <row r="1691" ht="30" customHeight="1">
      <c r="J1691" s="10"/>
    </row>
    <row r="1692" ht="30" customHeight="1">
      <c r="J1692" s="10"/>
    </row>
    <row r="1693" spans="10:18" ht="30" customHeight="1">
      <c r="J1693" s="10"/>
      <c r="O1693" s="40"/>
      <c r="P1693" s="40"/>
      <c r="Q1693" s="40"/>
      <c r="R1693" s="40"/>
    </row>
    <row r="1694" ht="30" customHeight="1">
      <c r="J1694" s="10"/>
    </row>
    <row r="1695" spans="10:14" ht="30" customHeight="1">
      <c r="J1695" s="10"/>
      <c r="N1695" s="40"/>
    </row>
    <row r="1696" ht="30" customHeight="1">
      <c r="J1696" s="10"/>
    </row>
    <row r="1697" ht="30" customHeight="1">
      <c r="J1697" s="9"/>
    </row>
    <row r="1698" ht="30" customHeight="1">
      <c r="J1698" s="10"/>
    </row>
    <row r="1699" ht="30" customHeight="1">
      <c r="J1699" s="16"/>
    </row>
    <row r="1700" ht="30" customHeight="1">
      <c r="J1700" s="91"/>
    </row>
    <row r="1701" ht="30" customHeight="1">
      <c r="J1701" s="18"/>
    </row>
    <row r="1702" ht="30" customHeight="1">
      <c r="J1702" s="9"/>
    </row>
    <row r="1703" ht="30" customHeight="1">
      <c r="J1703" s="9"/>
    </row>
    <row r="1704" spans="10:18" ht="30" customHeight="1">
      <c r="J1704" s="9"/>
      <c r="O1704" s="40"/>
      <c r="P1704" s="40"/>
      <c r="Q1704" s="40"/>
      <c r="R1704" s="40"/>
    </row>
    <row r="1705" ht="30" customHeight="1">
      <c r="J1705" s="9"/>
    </row>
    <row r="1706" spans="10:21" ht="30" customHeight="1">
      <c r="J1706" s="9"/>
      <c r="S1706" s="83"/>
      <c r="T1706" s="83"/>
      <c r="U1706" s="83"/>
    </row>
    <row r="1707" ht="30" customHeight="1">
      <c r="J1707" s="9"/>
    </row>
    <row r="1708" ht="30" customHeight="1">
      <c r="J1708" s="9"/>
    </row>
    <row r="1709" ht="30" customHeight="1">
      <c r="J1709" s="9"/>
    </row>
    <row r="1710" spans="10:21" ht="30" customHeight="1">
      <c r="J1710" s="9"/>
      <c r="S1710" s="40"/>
      <c r="T1710" s="40"/>
      <c r="U1710" s="40"/>
    </row>
    <row r="1711" ht="30" customHeight="1">
      <c r="J1711" s="9"/>
    </row>
    <row r="1712" ht="30" customHeight="1">
      <c r="J1712" s="9"/>
    </row>
    <row r="1713" ht="30" customHeight="1">
      <c r="J1713" s="9"/>
    </row>
    <row r="1714" ht="30" customHeight="1">
      <c r="J1714" s="9"/>
    </row>
    <row r="1715" spans="10:18" ht="30" customHeight="1">
      <c r="J1715" s="9"/>
      <c r="N1715" s="40"/>
      <c r="O1715" s="40"/>
      <c r="P1715" s="40"/>
      <c r="Q1715" s="40"/>
      <c r="R1715" s="40"/>
    </row>
    <row r="1716" ht="30" customHeight="1">
      <c r="J1716" s="18"/>
    </row>
    <row r="1717" ht="30" customHeight="1">
      <c r="J1717" s="9"/>
    </row>
    <row r="1718" ht="30" customHeight="1">
      <c r="J1718" s="9"/>
    </row>
    <row r="1719" spans="10:21" ht="30" customHeight="1">
      <c r="J1719" s="9"/>
      <c r="S1719" s="83"/>
      <c r="T1719" s="83"/>
      <c r="U1719" s="83"/>
    </row>
    <row r="1720" ht="30" customHeight="1">
      <c r="J1720" s="9"/>
    </row>
    <row r="1721" ht="30" customHeight="1">
      <c r="J1721" s="9"/>
    </row>
    <row r="1722" ht="30" customHeight="1">
      <c r="J1722" s="9"/>
    </row>
    <row r="1723" ht="30" customHeight="1">
      <c r="J1723" s="9"/>
    </row>
    <row r="1724" ht="30" customHeight="1">
      <c r="J1724" s="9"/>
    </row>
    <row r="1725" ht="30" customHeight="1">
      <c r="J1725" s="9"/>
    </row>
    <row r="1726" ht="30" customHeight="1">
      <c r="J1726" s="9"/>
    </row>
    <row r="1727" ht="30" customHeight="1">
      <c r="J1727" s="9"/>
    </row>
    <row r="1728" ht="30" customHeight="1">
      <c r="J1728" s="9"/>
    </row>
    <row r="1729" ht="30" customHeight="1">
      <c r="J1729" s="9"/>
    </row>
    <row r="1730" ht="30" customHeight="1">
      <c r="J1730" s="9"/>
    </row>
    <row r="1731" ht="30" customHeight="1">
      <c r="J1731" s="9"/>
    </row>
    <row r="1732" ht="30" customHeight="1">
      <c r="J1732" s="9"/>
    </row>
    <row r="1733" ht="30" customHeight="1">
      <c r="J1733" s="9"/>
    </row>
    <row r="1734" ht="30" customHeight="1">
      <c r="J1734" s="9"/>
    </row>
    <row r="1735" ht="30" customHeight="1">
      <c r="J1735" s="9"/>
    </row>
    <row r="1736" spans="10:18" ht="30" customHeight="1">
      <c r="J1736" s="9"/>
      <c r="N1736" s="40"/>
      <c r="O1736" s="40"/>
      <c r="P1736" s="40"/>
      <c r="Q1736" s="40"/>
      <c r="R1736" s="40"/>
    </row>
    <row r="1737" ht="30" customHeight="1">
      <c r="J1737" s="9"/>
    </row>
    <row r="1738" ht="30" customHeight="1">
      <c r="J1738" s="9"/>
    </row>
    <row r="1739" ht="30" customHeight="1">
      <c r="J1739" s="9"/>
    </row>
    <row r="1740" ht="30" customHeight="1">
      <c r="J1740" s="9"/>
    </row>
    <row r="1741" ht="30" customHeight="1">
      <c r="J1741" s="9"/>
    </row>
    <row r="1742" ht="30" customHeight="1">
      <c r="J1742" s="9"/>
    </row>
    <row r="1743" ht="30" customHeight="1">
      <c r="J1743" s="9"/>
    </row>
    <row r="1744" ht="30" customHeight="1">
      <c r="J1744" s="9"/>
    </row>
    <row r="1745" spans="10:21" ht="30" customHeight="1">
      <c r="J1745" s="9"/>
      <c r="S1745" s="40"/>
      <c r="T1745" s="40"/>
      <c r="U1745" s="40"/>
    </row>
    <row r="1746" spans="10:21" ht="27" customHeight="1">
      <c r="J1746" s="9"/>
      <c r="N1746" s="40"/>
      <c r="S1746" s="40"/>
      <c r="T1746" s="40"/>
      <c r="U1746" s="40"/>
    </row>
    <row r="1747" ht="27" customHeight="1">
      <c r="J1747" s="9"/>
    </row>
    <row r="1748" ht="27" customHeight="1">
      <c r="J1748" s="9"/>
    </row>
    <row r="1749" ht="27" customHeight="1">
      <c r="J1749" s="9"/>
    </row>
    <row r="1750" spans="10:14" ht="27" customHeight="1">
      <c r="J1750" s="91"/>
      <c r="N1750" s="40"/>
    </row>
    <row r="1751" ht="27" customHeight="1">
      <c r="J1751" s="9"/>
    </row>
    <row r="1752" ht="27" customHeight="1">
      <c r="J1752" s="9"/>
    </row>
    <row r="1753" ht="27" customHeight="1">
      <c r="J1753" s="9"/>
    </row>
    <row r="1754" ht="27" customHeight="1">
      <c r="J1754" s="9"/>
    </row>
    <row r="1755" spans="10:21" ht="27" customHeight="1">
      <c r="J1755" s="9"/>
      <c r="O1755" s="40"/>
      <c r="P1755" s="40"/>
      <c r="Q1755" s="40"/>
      <c r="R1755" s="40"/>
      <c r="S1755" s="95"/>
      <c r="T1755" s="95"/>
      <c r="U1755" s="95"/>
    </row>
    <row r="1756" ht="27" customHeight="1">
      <c r="J1756" s="9"/>
    </row>
    <row r="1757" ht="27" customHeight="1">
      <c r="J1757" s="9"/>
    </row>
    <row r="1758" ht="27" customHeight="1">
      <c r="J1758" s="9"/>
    </row>
    <row r="1759" spans="10:18" ht="27" customHeight="1">
      <c r="J1759" s="9"/>
      <c r="O1759" s="40"/>
      <c r="P1759" s="40"/>
      <c r="Q1759" s="40"/>
      <c r="R1759" s="40"/>
    </row>
    <row r="1760" ht="27" customHeight="1">
      <c r="J1760" s="9"/>
    </row>
    <row r="1761" ht="27" customHeight="1">
      <c r="J1761" s="9"/>
    </row>
    <row r="1762" ht="27" customHeight="1">
      <c r="J1762" s="9"/>
    </row>
    <row r="1763" ht="27" customHeight="1">
      <c r="J1763" s="9"/>
    </row>
    <row r="1764" ht="27" customHeight="1">
      <c r="J1764" s="10"/>
    </row>
    <row r="1765" ht="27" customHeight="1">
      <c r="J1765" s="10"/>
    </row>
    <row r="1766" ht="27" customHeight="1">
      <c r="J1766" s="16"/>
    </row>
    <row r="1767" ht="27" customHeight="1">
      <c r="J1767" s="91"/>
    </row>
    <row r="1768" ht="27" customHeight="1">
      <c r="J1768" s="9"/>
    </row>
    <row r="1769" ht="27" customHeight="1">
      <c r="J1769" s="9"/>
    </row>
    <row r="1770" ht="27" customHeight="1">
      <c r="J1770" s="9"/>
    </row>
    <row r="1771" ht="27" customHeight="1">
      <c r="J1771" s="9"/>
    </row>
    <row r="1772" spans="10:21" ht="27" customHeight="1">
      <c r="J1772" s="9"/>
      <c r="S1772" s="83"/>
      <c r="T1772" s="83"/>
      <c r="U1772" s="83"/>
    </row>
    <row r="1773" ht="27" customHeight="1">
      <c r="J1773" s="36"/>
    </row>
    <row r="1774" ht="27" customHeight="1">
      <c r="J1774" s="9"/>
    </row>
    <row r="1775" ht="27" customHeight="1">
      <c r="J1775" s="9"/>
    </row>
    <row r="1776" ht="27" customHeight="1">
      <c r="J1776" s="9"/>
    </row>
    <row r="1777" ht="27" customHeight="1">
      <c r="J1777" s="9"/>
    </row>
    <row r="1778" ht="27" customHeight="1">
      <c r="J1778" s="9"/>
    </row>
    <row r="1779" ht="27" customHeight="1">
      <c r="J1779" s="9"/>
    </row>
    <row r="1780" ht="27" customHeight="1">
      <c r="J1780" s="9"/>
    </row>
    <row r="1781" ht="27" customHeight="1">
      <c r="J1781" s="9"/>
    </row>
    <row r="1782" ht="27" customHeight="1">
      <c r="J1782" s="9"/>
    </row>
    <row r="1783" spans="10:18" ht="27" customHeight="1">
      <c r="J1783" s="9"/>
      <c r="N1783" s="83"/>
      <c r="O1783" s="83"/>
      <c r="P1783" s="83"/>
      <c r="Q1783" s="83"/>
      <c r="R1783" s="83"/>
    </row>
    <row r="1784" spans="10:13" ht="27" customHeight="1">
      <c r="J1784" s="36"/>
      <c r="M1784" s="87"/>
    </row>
    <row r="1785" spans="10:13" ht="27" customHeight="1">
      <c r="J1785" s="9"/>
      <c r="M1785" s="87"/>
    </row>
    <row r="1786" spans="10:13" ht="27" customHeight="1">
      <c r="J1786" s="9"/>
      <c r="M1786" s="87"/>
    </row>
    <row r="1787" spans="10:18" ht="27" customHeight="1">
      <c r="J1787" s="9"/>
      <c r="M1787" s="87"/>
      <c r="N1787" s="40"/>
      <c r="O1787" s="40"/>
      <c r="P1787" s="40"/>
      <c r="Q1787" s="40"/>
      <c r="R1787" s="40"/>
    </row>
    <row r="1788" spans="10:13" ht="27" customHeight="1">
      <c r="J1788" s="9"/>
      <c r="M1788" s="87"/>
    </row>
    <row r="1789" spans="10:13" ht="27" customHeight="1">
      <c r="J1789" s="9"/>
      <c r="M1789" s="87"/>
    </row>
    <row r="1790" spans="10:13" ht="27" customHeight="1">
      <c r="J1790" s="9"/>
      <c r="M1790" s="87"/>
    </row>
    <row r="1791" spans="10:13" ht="27" customHeight="1">
      <c r="J1791" s="9"/>
      <c r="M1791" s="87"/>
    </row>
    <row r="1792" spans="10:13" ht="27" customHeight="1">
      <c r="J1792" s="9"/>
      <c r="M1792" s="87"/>
    </row>
    <row r="1793" spans="10:13" ht="27" customHeight="1">
      <c r="J1793" s="9"/>
      <c r="M1793" s="87"/>
    </row>
    <row r="1794" spans="10:13" ht="27" customHeight="1">
      <c r="J1794" s="9"/>
      <c r="M1794" s="87"/>
    </row>
    <row r="1795" spans="10:13" ht="27" customHeight="1">
      <c r="J1795" s="9"/>
      <c r="M1795" s="87"/>
    </row>
    <row r="1796" spans="10:18" ht="27" customHeight="1">
      <c r="J1796" s="9"/>
      <c r="M1796" s="87"/>
      <c r="N1796" s="83"/>
      <c r="O1796" s="83"/>
      <c r="P1796" s="83"/>
      <c r="Q1796" s="83"/>
      <c r="R1796" s="83"/>
    </row>
    <row r="1797" spans="10:13" ht="27" customHeight="1">
      <c r="J1797" s="9"/>
      <c r="M1797" s="87"/>
    </row>
    <row r="1798" spans="10:13" ht="27" customHeight="1">
      <c r="J1798" s="9"/>
      <c r="M1798" s="87"/>
    </row>
    <row r="1799" spans="10:13" ht="27" customHeight="1">
      <c r="J1799" s="9"/>
      <c r="M1799" s="87"/>
    </row>
    <row r="1800" spans="10:13" ht="27" customHeight="1">
      <c r="J1800" s="9"/>
      <c r="M1800" s="87"/>
    </row>
    <row r="1801" spans="10:13" ht="27" customHeight="1">
      <c r="J1801" s="9"/>
      <c r="M1801" s="87"/>
    </row>
    <row r="1802" spans="10:13" ht="27" customHeight="1">
      <c r="J1802" s="9"/>
      <c r="M1802" s="87"/>
    </row>
    <row r="1803" spans="10:13" ht="27" customHeight="1">
      <c r="J1803" s="9"/>
      <c r="M1803" s="87"/>
    </row>
    <row r="1804" spans="10:13" ht="27" customHeight="1">
      <c r="J1804" s="9"/>
      <c r="M1804" s="87"/>
    </row>
    <row r="1805" spans="10:13" ht="27" customHeight="1">
      <c r="J1805" s="9"/>
      <c r="M1805" s="87"/>
    </row>
    <row r="1806" spans="10:13" ht="27" customHeight="1">
      <c r="J1806" s="9"/>
      <c r="M1806" s="87"/>
    </row>
    <row r="1807" spans="10:13" ht="27" customHeight="1">
      <c r="J1807" s="9"/>
      <c r="M1807" s="87"/>
    </row>
    <row r="1808" spans="10:13" ht="27" customHeight="1">
      <c r="J1808" s="9"/>
      <c r="M1808" s="87"/>
    </row>
    <row r="1809" spans="10:13" ht="27" customHeight="1">
      <c r="J1809" s="9"/>
      <c r="M1809" s="87"/>
    </row>
    <row r="1810" spans="10:13" ht="27" customHeight="1">
      <c r="J1810" s="9"/>
      <c r="M1810" s="87"/>
    </row>
    <row r="1811" spans="10:13" ht="27" customHeight="1">
      <c r="J1811" s="9"/>
      <c r="M1811" s="87"/>
    </row>
    <row r="1812" spans="10:13" ht="27" customHeight="1">
      <c r="J1812" s="9"/>
      <c r="M1812" s="87"/>
    </row>
    <row r="1813" spans="10:13" ht="27" customHeight="1">
      <c r="J1813" s="9"/>
      <c r="M1813" s="87"/>
    </row>
    <row r="1814" spans="10:13" ht="27" customHeight="1">
      <c r="J1814" s="9"/>
      <c r="M1814" s="87"/>
    </row>
    <row r="1815" spans="10:13" ht="27" customHeight="1">
      <c r="J1815" s="9"/>
      <c r="M1815" s="87"/>
    </row>
    <row r="1816" spans="10:13" ht="27" customHeight="1">
      <c r="J1816" s="9"/>
      <c r="M1816" s="87"/>
    </row>
    <row r="1817" spans="10:13" ht="27" customHeight="1">
      <c r="J1817" s="9"/>
      <c r="M1817" s="87"/>
    </row>
    <row r="1818" spans="10:21" ht="27" customHeight="1">
      <c r="J1818" s="9"/>
      <c r="M1818" s="87"/>
      <c r="S1818" s="83"/>
      <c r="T1818" s="83"/>
      <c r="U1818" s="83"/>
    </row>
    <row r="1819" spans="10:13" ht="27" customHeight="1">
      <c r="J1819" s="9"/>
      <c r="M1819" s="87"/>
    </row>
    <row r="1820" spans="10:13" ht="27" customHeight="1">
      <c r="J1820" s="9"/>
      <c r="M1820" s="87"/>
    </row>
    <row r="1821" spans="10:13" ht="27" customHeight="1">
      <c r="J1821" s="9"/>
      <c r="M1821" s="87"/>
    </row>
    <row r="1822" spans="10:18" ht="27" customHeight="1">
      <c r="J1822" s="9"/>
      <c r="M1822" s="87"/>
      <c r="N1822" s="40"/>
      <c r="O1822" s="40"/>
      <c r="P1822" s="40"/>
      <c r="Q1822" s="40"/>
      <c r="R1822" s="40"/>
    </row>
    <row r="1823" spans="10:14" ht="27" customHeight="1">
      <c r="J1823" s="9"/>
      <c r="M1823" s="87"/>
      <c r="N1823" s="40"/>
    </row>
    <row r="1824" spans="10:13" ht="27" customHeight="1">
      <c r="J1824" s="9"/>
      <c r="M1824" s="87"/>
    </row>
    <row r="1825" spans="10:13" ht="27" customHeight="1">
      <c r="J1825" s="9"/>
      <c r="M1825" s="87"/>
    </row>
    <row r="1826" spans="10:13" ht="27" customHeight="1">
      <c r="J1826" s="9"/>
      <c r="M1826" s="87"/>
    </row>
    <row r="1827" spans="10:13" ht="27" customHeight="1">
      <c r="J1827" s="9"/>
      <c r="M1827" s="87"/>
    </row>
    <row r="1828" spans="10:13" ht="27" customHeight="1">
      <c r="J1828" s="9"/>
      <c r="M1828" s="87"/>
    </row>
    <row r="1829" spans="10:13" ht="27" customHeight="1">
      <c r="J1829" s="9"/>
      <c r="M1829" s="87"/>
    </row>
    <row r="1830" spans="10:13" ht="27" customHeight="1">
      <c r="J1830" s="9"/>
      <c r="M1830" s="87"/>
    </row>
    <row r="1831" spans="10:13" ht="27" customHeight="1">
      <c r="J1831" s="9"/>
      <c r="M1831" s="87"/>
    </row>
    <row r="1832" spans="10:18" ht="27" customHeight="1">
      <c r="J1832" s="9"/>
      <c r="M1832" s="87"/>
      <c r="N1832" s="95"/>
      <c r="O1832" s="95"/>
      <c r="P1832" s="95"/>
      <c r="Q1832" s="95"/>
      <c r="R1832" s="95"/>
    </row>
    <row r="1833" spans="10:13" ht="27" customHeight="1">
      <c r="J1833" s="9"/>
      <c r="M1833" s="87"/>
    </row>
    <row r="1834" spans="10:13" ht="27" customHeight="1">
      <c r="J1834" s="9"/>
      <c r="M1834" s="87"/>
    </row>
    <row r="1835" spans="10:21" ht="27" customHeight="1">
      <c r="J1835" s="9"/>
      <c r="M1835" s="87"/>
      <c r="S1835" s="83"/>
      <c r="T1835" s="83"/>
      <c r="U1835" s="83"/>
    </row>
    <row r="1836" spans="10:13" ht="27" customHeight="1">
      <c r="J1836" s="9"/>
      <c r="M1836" s="87"/>
    </row>
    <row r="1837" spans="10:13" ht="27" customHeight="1">
      <c r="J1837" s="9"/>
      <c r="M1837" s="87"/>
    </row>
    <row r="1838" spans="10:13" ht="27" customHeight="1">
      <c r="J1838" s="9"/>
      <c r="M1838" s="87"/>
    </row>
    <row r="1839" spans="10:13" ht="27" customHeight="1">
      <c r="J1839" s="9"/>
      <c r="M1839" s="87"/>
    </row>
    <row r="1840" spans="10:13" ht="27" customHeight="1">
      <c r="J1840" s="9"/>
      <c r="M1840" s="87"/>
    </row>
    <row r="1841" spans="10:13" ht="27" customHeight="1">
      <c r="J1841" s="9"/>
      <c r="M1841" s="87"/>
    </row>
    <row r="1842" spans="10:13" ht="27" customHeight="1">
      <c r="J1842" s="9"/>
      <c r="M1842" s="87"/>
    </row>
    <row r="1843" spans="10:13" ht="27" customHeight="1">
      <c r="J1843" s="9"/>
      <c r="M1843" s="87"/>
    </row>
    <row r="1844" spans="10:13" ht="27" customHeight="1">
      <c r="J1844" s="9"/>
      <c r="M1844" s="87"/>
    </row>
    <row r="1845" spans="10:21" ht="27" customHeight="1">
      <c r="J1845" s="9"/>
      <c r="M1845" s="87"/>
      <c r="S1845" s="83"/>
      <c r="T1845" s="83"/>
      <c r="U1845" s="83"/>
    </row>
    <row r="1846" spans="10:13" ht="27" customHeight="1">
      <c r="J1846" s="9"/>
      <c r="M1846" s="87"/>
    </row>
    <row r="1847" spans="10:13" ht="27" customHeight="1">
      <c r="J1847" s="9"/>
      <c r="M1847" s="87"/>
    </row>
    <row r="1848" spans="10:21" ht="27" customHeight="1">
      <c r="J1848" s="9"/>
      <c r="M1848" s="87"/>
      <c r="S1848" s="40"/>
      <c r="T1848" s="40"/>
      <c r="U1848" s="40"/>
    </row>
    <row r="1849" spans="10:18" ht="27" customHeight="1">
      <c r="J1849" s="9"/>
      <c r="M1849" s="87"/>
      <c r="N1849" s="83"/>
      <c r="O1849" s="83"/>
      <c r="P1849" s="83"/>
      <c r="Q1849" s="83"/>
      <c r="R1849" s="83"/>
    </row>
    <row r="1850" spans="10:13" ht="27" customHeight="1">
      <c r="J1850" s="9"/>
      <c r="M1850" s="87"/>
    </row>
    <row r="1851" spans="10:13" ht="27" customHeight="1">
      <c r="J1851" s="9"/>
      <c r="M1851" s="87"/>
    </row>
    <row r="1852" spans="10:13" ht="27" customHeight="1">
      <c r="J1852" s="9"/>
      <c r="M1852" s="87"/>
    </row>
    <row r="1853" spans="10:13" ht="27" customHeight="1">
      <c r="J1853" s="9"/>
      <c r="M1853" s="87"/>
    </row>
    <row r="1854" spans="10:13" ht="27" customHeight="1">
      <c r="J1854" s="99"/>
      <c r="M1854" s="87"/>
    </row>
    <row r="1855" spans="10:13" ht="27" customHeight="1">
      <c r="J1855" s="99"/>
      <c r="M1855" s="87"/>
    </row>
    <row r="1856" spans="10:13" ht="27" customHeight="1">
      <c r="J1856" s="99"/>
      <c r="M1856" s="87"/>
    </row>
    <row r="1857" spans="10:13" ht="27" customHeight="1">
      <c r="J1857" s="10"/>
      <c r="M1857" s="87"/>
    </row>
    <row r="1858" spans="10:13" ht="27" customHeight="1">
      <c r="J1858" s="16"/>
      <c r="M1858" s="87"/>
    </row>
    <row r="1859" spans="10:21" ht="27" customHeight="1">
      <c r="J1859" s="91"/>
      <c r="M1859" s="87"/>
      <c r="S1859" s="98"/>
      <c r="T1859" s="98"/>
      <c r="U1859" s="98"/>
    </row>
    <row r="1860" spans="10:13" ht="27" customHeight="1">
      <c r="J1860" s="9"/>
      <c r="M1860" s="87"/>
    </row>
    <row r="1861" spans="10:13" ht="27" customHeight="1">
      <c r="J1861" s="9"/>
      <c r="M1861" s="87"/>
    </row>
    <row r="1862" spans="10:13" ht="27" customHeight="1">
      <c r="J1862" s="9"/>
      <c r="M1862" s="87"/>
    </row>
    <row r="1863" spans="10:13" ht="27" customHeight="1">
      <c r="J1863" s="9"/>
      <c r="M1863" s="87"/>
    </row>
    <row r="1864" spans="10:13" ht="27" customHeight="1">
      <c r="J1864" s="9"/>
      <c r="M1864" s="87"/>
    </row>
    <row r="1865" spans="10:13" ht="27" customHeight="1">
      <c r="J1865" s="9"/>
      <c r="M1865" s="87"/>
    </row>
    <row r="1866" spans="10:13" ht="27" customHeight="1">
      <c r="J1866" s="9"/>
      <c r="M1866" s="87"/>
    </row>
    <row r="1867" spans="10:13" ht="27" customHeight="1">
      <c r="J1867" s="9"/>
      <c r="M1867" s="87"/>
    </row>
    <row r="1868" spans="10:13" ht="27" customHeight="1">
      <c r="J1868" s="9"/>
      <c r="M1868" s="87"/>
    </row>
    <row r="1869" spans="10:13" ht="27" customHeight="1">
      <c r="J1869" s="9"/>
      <c r="M1869" s="87"/>
    </row>
    <row r="1870" spans="10:13" ht="27" customHeight="1">
      <c r="J1870" s="9"/>
      <c r="M1870" s="87"/>
    </row>
    <row r="1871" spans="10:13" ht="27" customHeight="1">
      <c r="J1871" s="9"/>
      <c r="M1871" s="87"/>
    </row>
    <row r="1872" spans="10:13" ht="27" customHeight="1">
      <c r="J1872" s="9"/>
      <c r="M1872" s="87"/>
    </row>
    <row r="1873" spans="10:13" ht="27" customHeight="1">
      <c r="J1873" s="9"/>
      <c r="M1873" s="87"/>
    </row>
    <row r="1874" spans="10:13" ht="27" customHeight="1">
      <c r="J1874" s="9"/>
      <c r="M1874" s="87"/>
    </row>
    <row r="1875" spans="10:13" ht="27" customHeight="1">
      <c r="J1875" s="9"/>
      <c r="M1875" s="87"/>
    </row>
    <row r="1876" spans="10:13" ht="27" customHeight="1">
      <c r="J1876" s="9"/>
      <c r="M1876" s="87"/>
    </row>
    <row r="1877" spans="10:13" ht="27" customHeight="1">
      <c r="J1877" s="9"/>
      <c r="M1877" s="87"/>
    </row>
    <row r="1878" spans="10:13" ht="27" customHeight="1">
      <c r="J1878" s="9"/>
      <c r="M1878" s="87"/>
    </row>
    <row r="1879" spans="10:13" ht="27" customHeight="1">
      <c r="J1879" s="9"/>
      <c r="M1879" s="87"/>
    </row>
    <row r="1880" spans="10:13" ht="27" customHeight="1">
      <c r="J1880" s="9"/>
      <c r="M1880" s="87"/>
    </row>
    <row r="1881" spans="10:13" ht="27" customHeight="1">
      <c r="J1881" s="9"/>
      <c r="M1881" s="87"/>
    </row>
    <row r="1882" spans="10:13" ht="27" customHeight="1">
      <c r="J1882" s="9"/>
      <c r="M1882" s="87"/>
    </row>
    <row r="1883" spans="10:13" ht="27" customHeight="1">
      <c r="J1883" s="9"/>
      <c r="M1883" s="87"/>
    </row>
    <row r="1884" spans="10:13" ht="27" customHeight="1">
      <c r="J1884" s="9"/>
      <c r="M1884" s="87"/>
    </row>
    <row r="1885" spans="10:13" ht="27" customHeight="1">
      <c r="J1885" s="9"/>
      <c r="M1885" s="87"/>
    </row>
    <row r="1886" spans="10:13" ht="27" customHeight="1">
      <c r="J1886" s="9"/>
      <c r="M1886" s="87"/>
    </row>
    <row r="1887" spans="10:13" ht="27" customHeight="1">
      <c r="J1887" s="9"/>
      <c r="M1887" s="87"/>
    </row>
    <row r="1888" spans="10:13" ht="27" customHeight="1">
      <c r="J1888" s="9"/>
      <c r="M1888" s="87"/>
    </row>
    <row r="1889" spans="10:13" ht="27" customHeight="1">
      <c r="J1889" s="9"/>
      <c r="M1889" s="87"/>
    </row>
    <row r="1890" spans="10:13" ht="27" customHeight="1">
      <c r="J1890" s="9"/>
      <c r="M1890" s="87"/>
    </row>
    <row r="1891" spans="10:13" ht="27" customHeight="1">
      <c r="J1891" s="9"/>
      <c r="M1891" s="87"/>
    </row>
    <row r="1892" spans="10:13" ht="27" customHeight="1">
      <c r="J1892" s="36"/>
      <c r="M1892" s="87"/>
    </row>
    <row r="1893" spans="10:13" ht="27" customHeight="1">
      <c r="J1893" s="9"/>
      <c r="M1893" s="87"/>
    </row>
    <row r="1894" spans="10:13" ht="27" customHeight="1">
      <c r="J1894" s="9"/>
      <c r="M1894" s="87"/>
    </row>
    <row r="1895" spans="10:18" ht="27" customHeight="1">
      <c r="J1895" s="9"/>
      <c r="M1895" s="87"/>
      <c r="N1895" s="83"/>
      <c r="O1895" s="83"/>
      <c r="P1895" s="83"/>
      <c r="Q1895" s="83"/>
      <c r="R1895" s="83"/>
    </row>
    <row r="1896" spans="10:13" ht="27" customHeight="1">
      <c r="J1896" s="9"/>
      <c r="M1896" s="87"/>
    </row>
    <row r="1897" spans="10:13" ht="27" customHeight="1">
      <c r="J1897" s="9"/>
      <c r="M1897" s="87"/>
    </row>
    <row r="1898" spans="10:13" ht="27" customHeight="1">
      <c r="J1898" s="9"/>
      <c r="M1898" s="87"/>
    </row>
    <row r="1899" spans="10:13" ht="27" customHeight="1">
      <c r="J1899" s="9"/>
      <c r="M1899" s="87"/>
    </row>
    <row r="1900" spans="10:13" ht="27" customHeight="1">
      <c r="J1900" s="9"/>
      <c r="M1900" s="87"/>
    </row>
    <row r="1901" spans="10:13" ht="27" customHeight="1">
      <c r="J1901" s="9"/>
      <c r="M1901" s="87"/>
    </row>
    <row r="1902" spans="10:13" ht="27" customHeight="1">
      <c r="J1902" s="9"/>
      <c r="M1902" s="87"/>
    </row>
    <row r="1903" spans="10:13" ht="27" customHeight="1">
      <c r="J1903" s="9"/>
      <c r="M1903" s="87"/>
    </row>
    <row r="1904" spans="10:13" ht="27" customHeight="1">
      <c r="J1904" s="9"/>
      <c r="M1904" s="87"/>
    </row>
    <row r="1905" spans="10:13" ht="27" customHeight="1">
      <c r="J1905" s="9"/>
      <c r="M1905" s="87"/>
    </row>
    <row r="1906" spans="10:13" ht="27" customHeight="1">
      <c r="J1906" s="9"/>
      <c r="M1906" s="87"/>
    </row>
    <row r="1907" spans="10:13" ht="27" customHeight="1">
      <c r="J1907" s="9"/>
      <c r="M1907" s="87"/>
    </row>
    <row r="1908" spans="10:13" ht="27" customHeight="1">
      <c r="J1908" s="9"/>
      <c r="M1908" s="87"/>
    </row>
    <row r="1909" spans="10:13" ht="27" customHeight="1">
      <c r="J1909" s="9"/>
      <c r="M1909" s="87"/>
    </row>
    <row r="1910" spans="10:13" ht="27" customHeight="1">
      <c r="J1910" s="9"/>
      <c r="M1910" s="87"/>
    </row>
    <row r="1911" spans="10:13" ht="27" customHeight="1">
      <c r="J1911" s="9"/>
      <c r="M1911" s="87"/>
    </row>
    <row r="1912" spans="10:18" ht="27" customHeight="1">
      <c r="J1912" s="9"/>
      <c r="M1912" s="87"/>
      <c r="N1912" s="83"/>
      <c r="O1912" s="83"/>
      <c r="P1912" s="83"/>
      <c r="Q1912" s="83"/>
      <c r="R1912" s="83"/>
    </row>
    <row r="1913" spans="10:13" ht="27" customHeight="1">
      <c r="J1913" s="9"/>
      <c r="M1913" s="87"/>
    </row>
    <row r="1914" spans="10:13" ht="27" customHeight="1">
      <c r="J1914" s="9"/>
      <c r="M1914" s="87"/>
    </row>
    <row r="1915" spans="10:13" ht="27" customHeight="1">
      <c r="J1915" s="9"/>
      <c r="M1915" s="87"/>
    </row>
    <row r="1916" spans="10:18" ht="27" customHeight="1">
      <c r="J1916" s="9"/>
      <c r="M1916" s="87"/>
      <c r="O1916" s="40"/>
      <c r="P1916" s="40"/>
      <c r="Q1916" s="40"/>
      <c r="R1916" s="40"/>
    </row>
    <row r="1917" spans="10:13" ht="27" customHeight="1">
      <c r="J1917" s="9"/>
      <c r="M1917" s="87"/>
    </row>
    <row r="1918" spans="10:13" ht="27" customHeight="1">
      <c r="J1918" s="9"/>
      <c r="M1918" s="87"/>
    </row>
    <row r="1919" spans="10:13" ht="27" customHeight="1">
      <c r="J1919" s="9"/>
      <c r="M1919" s="87"/>
    </row>
    <row r="1920" spans="10:13" ht="27" customHeight="1">
      <c r="J1920" s="9"/>
      <c r="M1920" s="87"/>
    </row>
    <row r="1921" spans="10:13" ht="27" customHeight="1">
      <c r="J1921" s="9"/>
      <c r="M1921" s="87"/>
    </row>
    <row r="1922" spans="10:18" ht="27" customHeight="1">
      <c r="J1922" s="9"/>
      <c r="M1922" s="87"/>
      <c r="N1922" s="83"/>
      <c r="O1922" s="83"/>
      <c r="P1922" s="83"/>
      <c r="Q1922" s="83"/>
      <c r="R1922" s="83"/>
    </row>
    <row r="1923" spans="10:13" ht="27" customHeight="1">
      <c r="J1923" s="9"/>
      <c r="M1923" s="87"/>
    </row>
    <row r="1924" spans="10:13" ht="27" customHeight="1">
      <c r="J1924" s="9"/>
      <c r="M1924" s="87"/>
    </row>
    <row r="1925" spans="10:18" ht="27" customHeight="1">
      <c r="J1925" s="18"/>
      <c r="M1925" s="87"/>
      <c r="N1925" s="40"/>
      <c r="O1925" s="40"/>
      <c r="P1925" s="40"/>
      <c r="Q1925" s="40"/>
      <c r="R1925" s="40"/>
    </row>
    <row r="1926" spans="10:13" ht="27" customHeight="1">
      <c r="J1926" s="9"/>
      <c r="M1926" s="87"/>
    </row>
    <row r="1927" spans="10:13" ht="27" customHeight="1">
      <c r="J1927" s="9"/>
      <c r="M1927" s="87"/>
    </row>
    <row r="1928" spans="10:13" ht="27" customHeight="1">
      <c r="J1928" s="9"/>
      <c r="M1928" s="87"/>
    </row>
    <row r="1929" spans="10:13" ht="27" customHeight="1">
      <c r="J1929" s="9"/>
      <c r="M1929" s="87"/>
    </row>
    <row r="1930" spans="10:13" ht="27" customHeight="1">
      <c r="J1930" s="9"/>
      <c r="M1930" s="87"/>
    </row>
    <row r="1931" spans="10:13" ht="27" customHeight="1">
      <c r="J1931" s="9"/>
      <c r="M1931" s="87"/>
    </row>
    <row r="1932" spans="10:13" ht="27" customHeight="1">
      <c r="J1932" s="9"/>
      <c r="M1932" s="87"/>
    </row>
    <row r="1933" spans="10:13" ht="27" customHeight="1">
      <c r="J1933" s="9"/>
      <c r="M1933" s="87"/>
    </row>
    <row r="1934" spans="10:13" ht="27" customHeight="1">
      <c r="J1934" s="9"/>
      <c r="M1934" s="87"/>
    </row>
    <row r="1935" spans="10:13" ht="27" customHeight="1">
      <c r="J1935" s="9"/>
      <c r="M1935" s="87"/>
    </row>
    <row r="1936" spans="10:18" ht="27" customHeight="1">
      <c r="J1936" s="36"/>
      <c r="M1936" s="87"/>
      <c r="N1936" s="98"/>
      <c r="O1936" s="98"/>
      <c r="P1936" s="98"/>
      <c r="Q1936" s="98"/>
      <c r="R1936" s="98"/>
    </row>
    <row r="1937" spans="10:13" ht="27" customHeight="1">
      <c r="J1937" s="9"/>
      <c r="M1937" s="87"/>
    </row>
    <row r="1938" spans="10:13" ht="27" customHeight="1">
      <c r="J1938" s="9"/>
      <c r="M1938" s="87"/>
    </row>
    <row r="1939" spans="10:13" ht="27" customHeight="1">
      <c r="J1939" s="75"/>
      <c r="M1939" s="87"/>
    </row>
    <row r="1940" spans="10:13" ht="27" customHeight="1">
      <c r="J1940" s="75"/>
      <c r="M1940" s="87"/>
    </row>
    <row r="1941" spans="10:13" ht="27" customHeight="1">
      <c r="J1941" s="79"/>
      <c r="M1941" s="87"/>
    </row>
    <row r="1942" spans="10:13" ht="27" customHeight="1">
      <c r="J1942" s="79"/>
      <c r="M1942" s="87"/>
    </row>
    <row r="1943" spans="10:13" ht="27" customHeight="1">
      <c r="J1943" s="19"/>
      <c r="M1943" s="87"/>
    </row>
    <row r="1944" spans="10:13" ht="27" customHeight="1">
      <c r="J1944" s="87"/>
      <c r="M1944" s="87"/>
    </row>
    <row r="1945" spans="10:13" ht="27" customHeight="1">
      <c r="J1945" s="9"/>
      <c r="M1945" s="87"/>
    </row>
    <row r="1946" spans="10:13" ht="27" customHeight="1">
      <c r="J1946" s="9"/>
      <c r="M1946" s="87"/>
    </row>
    <row r="1947" spans="10:13" ht="27" customHeight="1">
      <c r="J1947" s="9"/>
      <c r="M1947" s="87"/>
    </row>
    <row r="1948" spans="10:13" ht="27" customHeight="1">
      <c r="J1948" s="9"/>
      <c r="M1948" s="87"/>
    </row>
    <row r="1949" spans="10:13" ht="27" customHeight="1">
      <c r="J1949" s="9"/>
      <c r="M1949" s="87"/>
    </row>
    <row r="1950" spans="10:13" ht="27" customHeight="1">
      <c r="J1950" s="9"/>
      <c r="M1950" s="87"/>
    </row>
    <row r="1951" spans="10:13" ht="27" customHeight="1">
      <c r="J1951" s="9"/>
      <c r="M1951" s="87"/>
    </row>
    <row r="1952" spans="10:13" ht="27" customHeight="1">
      <c r="J1952" s="9"/>
      <c r="M1952" s="87"/>
    </row>
    <row r="1953" spans="10:13" ht="27" customHeight="1">
      <c r="J1953" s="9"/>
      <c r="M1953" s="87"/>
    </row>
    <row r="1954" spans="10:13" ht="27" customHeight="1">
      <c r="J1954" s="9"/>
      <c r="M1954" s="87"/>
    </row>
    <row r="1955" spans="10:13" ht="27" customHeight="1">
      <c r="J1955" s="9"/>
      <c r="M1955" s="87"/>
    </row>
    <row r="1956" spans="10:13" ht="27" customHeight="1">
      <c r="J1956" s="9"/>
      <c r="M1956" s="87"/>
    </row>
    <row r="1957" spans="10:13" ht="27" customHeight="1">
      <c r="J1957" s="9"/>
      <c r="M1957" s="87"/>
    </row>
    <row r="1958" spans="10:13" ht="27" customHeight="1">
      <c r="J1958" s="9"/>
      <c r="M1958" s="87"/>
    </row>
    <row r="1959" spans="10:13" ht="27" customHeight="1">
      <c r="J1959" s="9"/>
      <c r="M1959" s="87"/>
    </row>
    <row r="1960" spans="10:13" ht="27" customHeight="1">
      <c r="J1960" s="9"/>
      <c r="M1960" s="87"/>
    </row>
    <row r="1961" spans="10:13" ht="27" customHeight="1">
      <c r="J1961" s="9"/>
      <c r="M1961" s="87"/>
    </row>
    <row r="1962" spans="10:13" ht="27" customHeight="1">
      <c r="J1962" s="9"/>
      <c r="M1962" s="87"/>
    </row>
    <row r="1963" spans="10:13" ht="27" customHeight="1">
      <c r="J1963" s="9"/>
      <c r="M1963" s="87"/>
    </row>
    <row r="1964" spans="10:13" ht="27" customHeight="1">
      <c r="J1964" s="9"/>
      <c r="M1964" s="87"/>
    </row>
    <row r="1965" spans="10:13" ht="27" customHeight="1">
      <c r="J1965" s="9"/>
      <c r="M1965" s="87"/>
    </row>
    <row r="1966" spans="10:13" ht="27" customHeight="1">
      <c r="J1966" s="9"/>
      <c r="M1966" s="87"/>
    </row>
    <row r="1967" spans="10:21" ht="27" customHeight="1">
      <c r="J1967" s="9"/>
      <c r="M1967" s="87"/>
      <c r="S1967" s="40"/>
      <c r="T1967" s="40"/>
      <c r="U1967" s="40"/>
    </row>
    <row r="1968" spans="10:13" ht="27" customHeight="1">
      <c r="J1968" s="9"/>
      <c r="M1968" s="87"/>
    </row>
    <row r="1969" spans="10:13" ht="27" customHeight="1">
      <c r="J1969" s="9"/>
      <c r="M1969" s="87"/>
    </row>
    <row r="1970" spans="10:13" ht="27" customHeight="1">
      <c r="J1970" s="9"/>
      <c r="M1970" s="87"/>
    </row>
    <row r="1971" spans="10:13" ht="27" customHeight="1">
      <c r="J1971" s="9"/>
      <c r="M1971" s="87"/>
    </row>
    <row r="1972" spans="10:13" ht="27" customHeight="1">
      <c r="J1972" s="9"/>
      <c r="M1972" s="87"/>
    </row>
    <row r="1973" spans="10:13" ht="27" customHeight="1">
      <c r="J1973" s="9"/>
      <c r="M1973" s="87"/>
    </row>
    <row r="1974" spans="10:13" ht="27" customHeight="1">
      <c r="J1974" s="9"/>
      <c r="M1974" s="87"/>
    </row>
    <row r="1975" spans="10:13" ht="27" customHeight="1">
      <c r="J1975" s="9"/>
      <c r="K1975" s="87"/>
      <c r="L1975" s="87"/>
      <c r="M1975" s="87"/>
    </row>
    <row r="1976" spans="10:13" ht="27" customHeight="1">
      <c r="J1976" s="9"/>
      <c r="K1976" s="87"/>
      <c r="L1976" s="87"/>
      <c r="M1976" s="87"/>
    </row>
    <row r="1977" spans="10:13" ht="27" customHeight="1">
      <c r="J1977" s="9"/>
      <c r="K1977" s="87"/>
      <c r="L1977" s="87"/>
      <c r="M1977" s="87"/>
    </row>
    <row r="1978" spans="10:13" ht="27" customHeight="1">
      <c r="J1978" s="9"/>
      <c r="K1978" s="87"/>
      <c r="L1978" s="87"/>
      <c r="M1978" s="87"/>
    </row>
    <row r="1979" spans="10:13" ht="27" customHeight="1">
      <c r="J1979" s="9"/>
      <c r="K1979" s="87"/>
      <c r="L1979" s="87"/>
      <c r="M1979" s="87"/>
    </row>
    <row r="1980" spans="10:13" ht="27" customHeight="1">
      <c r="J1980" s="9"/>
      <c r="K1980" s="87"/>
      <c r="L1980" s="87"/>
      <c r="M1980" s="87"/>
    </row>
    <row r="1981" spans="10:13" ht="27" customHeight="1">
      <c r="J1981" s="9"/>
      <c r="K1981" s="87"/>
      <c r="L1981" s="87"/>
      <c r="M1981" s="87"/>
    </row>
    <row r="1982" spans="10:13" ht="27" customHeight="1">
      <c r="J1982" s="9"/>
      <c r="K1982" s="87"/>
      <c r="L1982" s="87"/>
      <c r="M1982" s="87"/>
    </row>
    <row r="1983" spans="10:13" ht="27" customHeight="1">
      <c r="J1983" s="9"/>
      <c r="K1983" s="87"/>
      <c r="L1983" s="87"/>
      <c r="M1983" s="87"/>
    </row>
    <row r="1984" spans="10:13" ht="27" customHeight="1">
      <c r="J1984" s="9"/>
      <c r="K1984" s="87"/>
      <c r="L1984" s="87"/>
      <c r="M1984" s="87"/>
    </row>
    <row r="1985" spans="10:13" ht="27" customHeight="1">
      <c r="J1985" s="9"/>
      <c r="K1985" s="87"/>
      <c r="L1985" s="87"/>
      <c r="M1985" s="87"/>
    </row>
    <row r="1986" spans="10:13" ht="27" customHeight="1">
      <c r="J1986" s="9"/>
      <c r="K1986" s="87"/>
      <c r="L1986" s="87"/>
      <c r="M1986" s="87"/>
    </row>
    <row r="1987" spans="10:13" ht="27" customHeight="1">
      <c r="J1987" s="9"/>
      <c r="K1987" s="87"/>
      <c r="L1987" s="87"/>
      <c r="M1987" s="87"/>
    </row>
    <row r="1988" spans="10:13" ht="27" customHeight="1">
      <c r="J1988" s="9"/>
      <c r="K1988" s="87"/>
      <c r="L1988" s="87"/>
      <c r="M1988" s="87"/>
    </row>
    <row r="1989" spans="10:13" ht="27" customHeight="1">
      <c r="J1989" s="9"/>
      <c r="K1989" s="87"/>
      <c r="L1989" s="87"/>
      <c r="M1989" s="87"/>
    </row>
    <row r="1990" spans="10:13" ht="27" customHeight="1">
      <c r="J1990" s="9"/>
      <c r="K1990" s="87"/>
      <c r="L1990" s="87"/>
      <c r="M1990" s="87"/>
    </row>
    <row r="1991" spans="10:13" ht="27" customHeight="1">
      <c r="J1991" s="9"/>
      <c r="K1991" s="87"/>
      <c r="L1991" s="87"/>
      <c r="M1991" s="87"/>
    </row>
    <row r="1992" spans="10:13" ht="27" customHeight="1">
      <c r="J1992" s="9"/>
      <c r="K1992" s="87"/>
      <c r="L1992" s="87"/>
      <c r="M1992" s="87"/>
    </row>
    <row r="1993" spans="10:13" ht="27" customHeight="1">
      <c r="J1993" s="9"/>
      <c r="K1993" s="87"/>
      <c r="L1993" s="87"/>
      <c r="M1993" s="87"/>
    </row>
    <row r="1994" spans="10:13" ht="27" customHeight="1">
      <c r="J1994" s="9"/>
      <c r="K1994" s="87"/>
      <c r="L1994" s="87"/>
      <c r="M1994" s="87"/>
    </row>
    <row r="1995" spans="10:12" ht="27" customHeight="1">
      <c r="J1995" s="9"/>
      <c r="K1995" s="87"/>
      <c r="L1995" s="87"/>
    </row>
    <row r="1996" spans="10:12" ht="27" customHeight="1">
      <c r="J1996" s="9"/>
      <c r="K1996" s="87"/>
      <c r="L1996" s="87"/>
    </row>
    <row r="1997" spans="10:12" ht="27" customHeight="1">
      <c r="J1997" s="9"/>
      <c r="K1997" s="87"/>
      <c r="L1997" s="87"/>
    </row>
    <row r="1998" spans="10:12" ht="27" customHeight="1">
      <c r="J1998" s="9"/>
      <c r="K1998" s="87"/>
      <c r="L1998" s="87"/>
    </row>
    <row r="1999" spans="10:12" ht="27" customHeight="1">
      <c r="J1999" s="9"/>
      <c r="K1999" s="87"/>
      <c r="L1999" s="87"/>
    </row>
    <row r="2000" spans="10:21" ht="27" customHeight="1">
      <c r="J2000" s="9"/>
      <c r="K2000" s="87"/>
      <c r="L2000" s="87"/>
      <c r="S2000" s="83"/>
      <c r="T2000" s="83"/>
      <c r="U2000" s="83"/>
    </row>
    <row r="2001" spans="10:12" ht="27" customHeight="1">
      <c r="J2001" s="9"/>
      <c r="K2001" s="87"/>
      <c r="L2001" s="87"/>
    </row>
    <row r="2002" spans="10:12" ht="27" customHeight="1">
      <c r="J2002" s="9"/>
      <c r="K2002" s="87"/>
      <c r="L2002" s="155"/>
    </row>
    <row r="2003" spans="10:13" ht="27" customHeight="1">
      <c r="J2003" s="9"/>
      <c r="K2003" s="87"/>
      <c r="L2003" s="87"/>
      <c r="M2003" s="40"/>
    </row>
    <row r="2004" spans="10:12" ht="27" customHeight="1">
      <c r="J2004" s="9"/>
      <c r="K2004" s="87"/>
      <c r="L2004" s="87"/>
    </row>
    <row r="2005" spans="10:12" ht="27" customHeight="1">
      <c r="J2005" s="9"/>
      <c r="K2005" s="87"/>
      <c r="L2005" s="87"/>
    </row>
    <row r="2006" spans="10:12" ht="27" customHeight="1">
      <c r="J2006" s="9"/>
      <c r="K2006" s="155"/>
      <c r="L2006" s="155"/>
    </row>
    <row r="2007" spans="10:12" ht="27" customHeight="1">
      <c r="J2007" s="9"/>
      <c r="K2007" s="87"/>
      <c r="L2007" s="87"/>
    </row>
    <row r="2008" spans="10:12" ht="27" customHeight="1">
      <c r="J2008" s="9"/>
      <c r="K2008" s="87"/>
      <c r="L2008" s="87"/>
    </row>
    <row r="2009" spans="10:12" ht="27" customHeight="1">
      <c r="J2009" s="36"/>
      <c r="K2009" s="87"/>
      <c r="L2009" s="87"/>
    </row>
    <row r="2010" spans="10:12" ht="27" customHeight="1">
      <c r="J2010" s="9"/>
      <c r="K2010" s="87"/>
      <c r="L2010" s="87"/>
    </row>
    <row r="2011" spans="10:21" ht="27" customHeight="1">
      <c r="J2011" s="10"/>
      <c r="K2011" s="87"/>
      <c r="L2011" s="87"/>
      <c r="S2011" s="40"/>
      <c r="T2011" s="40"/>
      <c r="U2011" s="40"/>
    </row>
    <row r="2012" spans="10:12" ht="27" customHeight="1">
      <c r="J2012" s="10"/>
      <c r="K2012" s="87"/>
      <c r="L2012" s="87"/>
    </row>
    <row r="2013" spans="10:12" ht="27" customHeight="1">
      <c r="J2013" s="13"/>
      <c r="K2013" s="87"/>
      <c r="L2013" s="87"/>
    </row>
    <row r="2014" spans="10:12" ht="27" customHeight="1">
      <c r="J2014" s="13"/>
      <c r="K2014" s="87"/>
      <c r="L2014" s="87"/>
    </row>
    <row r="2015" spans="10:12" ht="19.5" customHeight="1">
      <c r="J2015" s="13"/>
      <c r="K2015" s="87"/>
      <c r="L2015" s="87"/>
    </row>
    <row r="2016" spans="10:12" ht="19.5" customHeight="1">
      <c r="J2016" s="13"/>
      <c r="K2016" s="87"/>
      <c r="L2016" s="87"/>
    </row>
    <row r="2017" spans="10:12" ht="19.5" customHeight="1">
      <c r="J2017" s="13"/>
      <c r="K2017" s="87"/>
      <c r="L2017" s="87"/>
    </row>
    <row r="2018" spans="10:12" ht="19.5" customHeight="1">
      <c r="J2018" s="13"/>
      <c r="K2018" s="87"/>
      <c r="L2018" s="87"/>
    </row>
    <row r="2019" spans="10:21" ht="19.5" customHeight="1">
      <c r="J2019" s="10"/>
      <c r="K2019" s="87"/>
      <c r="L2019" s="87"/>
      <c r="S2019" s="40"/>
      <c r="T2019" s="40"/>
      <c r="U2019" s="40"/>
    </row>
    <row r="2020" spans="10:12" ht="19.5" customHeight="1">
      <c r="J2020" s="10"/>
      <c r="K2020" s="87"/>
      <c r="L2020" s="87"/>
    </row>
    <row r="2021" spans="10:12" ht="19.5" customHeight="1">
      <c r="J2021" s="19"/>
      <c r="K2021" s="87"/>
      <c r="L2021" s="87"/>
    </row>
    <row r="2022" spans="10:12" ht="19.5" customHeight="1">
      <c r="J2022" s="91"/>
      <c r="K2022" s="87"/>
      <c r="L2022" s="87"/>
    </row>
    <row r="2023" spans="10:12" ht="19.5" customHeight="1">
      <c r="J2023" s="9"/>
      <c r="K2023" s="87"/>
      <c r="L2023" s="87"/>
    </row>
    <row r="2024" spans="10:12" ht="19.5" customHeight="1">
      <c r="J2024" s="9"/>
      <c r="K2024" s="87"/>
      <c r="L2024" s="87"/>
    </row>
    <row r="2025" spans="10:13" ht="19.5" customHeight="1">
      <c r="J2025" s="9"/>
      <c r="K2025" s="87"/>
      <c r="L2025" s="87"/>
      <c r="M2025" s="40"/>
    </row>
    <row r="2026" spans="10:12" ht="19.5" customHeight="1">
      <c r="J2026" s="9"/>
      <c r="K2026" s="87"/>
      <c r="L2026" s="87"/>
    </row>
    <row r="2027" spans="10:12" ht="19.5" customHeight="1">
      <c r="J2027" s="9"/>
      <c r="K2027" s="87"/>
      <c r="L2027" s="87"/>
    </row>
    <row r="2028" spans="10:12" ht="19.5" customHeight="1">
      <c r="J2028" s="9"/>
      <c r="K2028" s="87"/>
      <c r="L2028" s="87"/>
    </row>
    <row r="2029" spans="10:12" ht="19.5" customHeight="1">
      <c r="J2029" s="9"/>
      <c r="K2029" s="87"/>
      <c r="L2029" s="87"/>
    </row>
    <row r="2030" spans="10:12" ht="19.5" customHeight="1">
      <c r="J2030" s="9"/>
      <c r="K2030" s="87"/>
      <c r="L2030" s="87"/>
    </row>
    <row r="2031" spans="10:12" ht="19.5" customHeight="1">
      <c r="J2031" s="36"/>
      <c r="K2031" s="87"/>
      <c r="L2031" s="87"/>
    </row>
    <row r="2032" spans="10:12" ht="19.5" customHeight="1">
      <c r="J2032" s="9"/>
      <c r="K2032" s="87"/>
      <c r="L2032" s="87"/>
    </row>
    <row r="2033" spans="10:12" ht="19.5" customHeight="1">
      <c r="J2033" s="9"/>
      <c r="K2033" s="87"/>
      <c r="L2033" s="87"/>
    </row>
    <row r="2034" spans="10:12" ht="19.5" customHeight="1">
      <c r="J2034" s="9"/>
      <c r="K2034" s="87"/>
      <c r="L2034" s="87"/>
    </row>
    <row r="2035" spans="10:12" ht="19.5" customHeight="1">
      <c r="J2035" s="9"/>
      <c r="K2035" s="87"/>
      <c r="L2035" s="87"/>
    </row>
    <row r="2036" spans="10:12" ht="19.5" customHeight="1">
      <c r="J2036" s="9"/>
      <c r="K2036" s="87"/>
      <c r="L2036" s="87"/>
    </row>
    <row r="2037" spans="10:12" ht="19.5" customHeight="1">
      <c r="J2037" s="9"/>
      <c r="K2037" s="87"/>
      <c r="L2037" s="87"/>
    </row>
    <row r="2038" spans="10:12" ht="19.5" customHeight="1">
      <c r="J2038" s="9"/>
      <c r="K2038" s="87"/>
      <c r="L2038" s="87"/>
    </row>
    <row r="2039" spans="10:12" ht="19.5" customHeight="1">
      <c r="J2039" s="9"/>
      <c r="K2039" s="87"/>
      <c r="L2039" s="87"/>
    </row>
    <row r="2040" spans="10:12" ht="19.5" customHeight="1">
      <c r="J2040" s="9"/>
      <c r="K2040" s="87"/>
      <c r="L2040" s="87"/>
    </row>
    <row r="2041" spans="10:12" ht="19.5" customHeight="1">
      <c r="J2041" s="9"/>
      <c r="K2041" s="87"/>
      <c r="L2041" s="87"/>
    </row>
    <row r="2042" spans="10:12" ht="19.5" customHeight="1">
      <c r="J2042" s="9"/>
      <c r="K2042" s="87"/>
      <c r="L2042" s="87"/>
    </row>
    <row r="2043" spans="10:12" ht="19.5" customHeight="1">
      <c r="J2043" s="9"/>
      <c r="K2043" s="87"/>
      <c r="L2043" s="87"/>
    </row>
    <row r="2044" spans="10:18" ht="19.5" customHeight="1">
      <c r="J2044" s="9"/>
      <c r="K2044" s="87"/>
      <c r="L2044" s="87"/>
      <c r="N2044" s="40"/>
      <c r="O2044" s="40"/>
      <c r="P2044" s="40"/>
      <c r="Q2044" s="40"/>
      <c r="R2044" s="40"/>
    </row>
    <row r="2045" spans="10:12" ht="19.5" customHeight="1">
      <c r="J2045" s="9"/>
      <c r="K2045" s="87"/>
      <c r="L2045" s="87"/>
    </row>
    <row r="2046" spans="10:12" ht="19.5" customHeight="1">
      <c r="J2046" s="9"/>
      <c r="K2046" s="87"/>
      <c r="L2046" s="87"/>
    </row>
    <row r="2047" spans="10:12" ht="19.5" customHeight="1">
      <c r="J2047" s="9"/>
      <c r="K2047" s="87"/>
      <c r="L2047" s="87"/>
    </row>
    <row r="2048" spans="10:12" ht="19.5" customHeight="1">
      <c r="J2048" s="9"/>
      <c r="K2048" s="87"/>
      <c r="L2048" s="87"/>
    </row>
    <row r="2049" spans="10:12" ht="19.5" customHeight="1">
      <c r="J2049" s="9"/>
      <c r="K2049" s="87"/>
      <c r="L2049" s="87"/>
    </row>
    <row r="2050" spans="10:12" ht="19.5" customHeight="1">
      <c r="J2050" s="9"/>
      <c r="K2050" s="87"/>
      <c r="L2050" s="87"/>
    </row>
    <row r="2051" spans="10:12" ht="19.5" customHeight="1">
      <c r="J2051" s="9"/>
      <c r="K2051" s="87"/>
      <c r="L2051" s="87"/>
    </row>
    <row r="2052" spans="10:12" ht="19.5" customHeight="1">
      <c r="J2052" s="9"/>
      <c r="K2052" s="87"/>
      <c r="L2052" s="87"/>
    </row>
    <row r="2053" spans="10:12" ht="19.5" customHeight="1">
      <c r="J2053" s="9"/>
      <c r="K2053" s="87"/>
      <c r="L2053" s="87"/>
    </row>
    <row r="2054" spans="10:12" ht="19.5" customHeight="1">
      <c r="J2054" s="9"/>
      <c r="K2054" s="87"/>
      <c r="L2054" s="87"/>
    </row>
    <row r="2055" spans="10:12" ht="19.5" customHeight="1">
      <c r="J2055" s="9"/>
      <c r="K2055" s="87"/>
      <c r="L2055" s="87"/>
    </row>
    <row r="2056" spans="10:12" ht="19.5" customHeight="1">
      <c r="J2056" s="9"/>
      <c r="K2056" s="87"/>
      <c r="L2056" s="87"/>
    </row>
    <row r="2057" spans="10:12" ht="19.5" customHeight="1">
      <c r="J2057" s="9"/>
      <c r="K2057" s="87"/>
      <c r="L2057" s="87"/>
    </row>
    <row r="2058" spans="10:12" ht="19.5" customHeight="1">
      <c r="J2058" s="9"/>
      <c r="K2058" s="87"/>
      <c r="L2058" s="87"/>
    </row>
    <row r="2059" spans="10:12" ht="19.5" customHeight="1">
      <c r="J2059" s="9"/>
      <c r="K2059" s="87"/>
      <c r="L2059" s="87"/>
    </row>
    <row r="2060" spans="10:12" ht="19.5" customHeight="1">
      <c r="J2060" s="9"/>
      <c r="K2060" s="87"/>
      <c r="L2060" s="87"/>
    </row>
    <row r="2061" spans="10:12" ht="19.5" customHeight="1">
      <c r="J2061" s="9"/>
      <c r="K2061" s="87"/>
      <c r="L2061" s="87"/>
    </row>
    <row r="2062" spans="10:12" ht="19.5" customHeight="1">
      <c r="J2062" s="9"/>
      <c r="K2062" s="87"/>
      <c r="L2062" s="87"/>
    </row>
    <row r="2063" spans="10:12" ht="19.5" customHeight="1">
      <c r="J2063" s="9"/>
      <c r="K2063" s="87"/>
      <c r="L2063" s="87"/>
    </row>
    <row r="2064" spans="10:12" ht="19.5" customHeight="1">
      <c r="J2064" s="9"/>
      <c r="K2064" s="87"/>
      <c r="L2064" s="87"/>
    </row>
    <row r="2065" spans="10:12" ht="19.5" customHeight="1">
      <c r="J2065" s="9"/>
      <c r="K2065" s="87"/>
      <c r="L2065" s="87"/>
    </row>
    <row r="2066" spans="10:12" ht="19.5" customHeight="1">
      <c r="J2066" s="9"/>
      <c r="K2066" s="87"/>
      <c r="L2066" s="87"/>
    </row>
    <row r="2067" spans="10:12" ht="19.5" customHeight="1">
      <c r="J2067" s="9"/>
      <c r="K2067" s="87"/>
      <c r="L2067" s="87"/>
    </row>
    <row r="2068" spans="10:12" ht="19.5" customHeight="1">
      <c r="J2068" s="9"/>
      <c r="K2068" s="87"/>
      <c r="L2068" s="87"/>
    </row>
    <row r="2069" spans="10:12" ht="19.5" customHeight="1">
      <c r="J2069" s="9"/>
      <c r="K2069" s="87"/>
      <c r="L2069" s="87"/>
    </row>
    <row r="2070" spans="10:13" ht="19.5" customHeight="1">
      <c r="J2070" s="9"/>
      <c r="K2070" s="87"/>
      <c r="L2070" s="87"/>
      <c r="M2070" s="83"/>
    </row>
    <row r="2071" spans="10:12" ht="19.5" customHeight="1">
      <c r="J2071" s="9"/>
      <c r="K2071" s="87"/>
      <c r="L2071" s="87"/>
    </row>
    <row r="2072" spans="10:12" ht="19.5" customHeight="1">
      <c r="J2072" s="9"/>
      <c r="K2072" s="87"/>
      <c r="L2072" s="87"/>
    </row>
    <row r="2073" spans="10:12" ht="19.5" customHeight="1">
      <c r="J2073" s="9"/>
      <c r="K2073" s="87"/>
      <c r="L2073" s="87"/>
    </row>
    <row r="2074" spans="10:12" ht="19.5" customHeight="1">
      <c r="J2074" s="9"/>
      <c r="K2074" s="87"/>
      <c r="L2074" s="87"/>
    </row>
    <row r="2075" spans="10:12" ht="19.5" customHeight="1">
      <c r="J2075" s="9"/>
      <c r="K2075" s="87"/>
      <c r="L2075" s="87"/>
    </row>
    <row r="2076" spans="10:12" ht="19.5" customHeight="1">
      <c r="J2076" s="9"/>
      <c r="K2076" s="87"/>
      <c r="L2076" s="87"/>
    </row>
    <row r="2077" spans="10:18" ht="19.5" customHeight="1">
      <c r="J2077" s="9"/>
      <c r="K2077" s="87"/>
      <c r="L2077" s="87"/>
      <c r="N2077" s="83"/>
      <c r="O2077" s="83"/>
      <c r="P2077" s="83"/>
      <c r="Q2077" s="83"/>
      <c r="R2077" s="83"/>
    </row>
    <row r="2078" spans="10:12" ht="19.5" customHeight="1">
      <c r="J2078" s="9"/>
      <c r="K2078" s="87"/>
      <c r="L2078" s="87"/>
    </row>
    <row r="2079" spans="10:12" ht="19.5" customHeight="1">
      <c r="J2079" s="9"/>
      <c r="K2079" s="87"/>
      <c r="L2079" s="87"/>
    </row>
    <row r="2080" spans="10:12" ht="19.5" customHeight="1">
      <c r="J2080" s="9"/>
      <c r="K2080" s="87"/>
      <c r="L2080" s="87"/>
    </row>
    <row r="2081" spans="10:12" ht="19.5" customHeight="1">
      <c r="J2081" s="9"/>
      <c r="K2081" s="87"/>
      <c r="L2081" s="87"/>
    </row>
    <row r="2082" spans="10:12" ht="19.5" customHeight="1">
      <c r="J2082" s="9"/>
      <c r="K2082" s="87"/>
      <c r="L2082" s="87"/>
    </row>
    <row r="2083" spans="10:13" ht="19.5" customHeight="1">
      <c r="J2083" s="9"/>
      <c r="K2083" s="87"/>
      <c r="L2083" s="87"/>
      <c r="M2083" s="83"/>
    </row>
    <row r="2084" spans="10:21" ht="19.5" customHeight="1">
      <c r="J2084" s="9"/>
      <c r="K2084" s="87"/>
      <c r="L2084" s="87"/>
      <c r="S2084" s="40"/>
      <c r="T2084" s="40"/>
      <c r="U2084" s="40"/>
    </row>
    <row r="2085" spans="10:12" ht="19.5" customHeight="1">
      <c r="J2085" s="9"/>
      <c r="K2085" s="87"/>
      <c r="L2085" s="87"/>
    </row>
    <row r="2086" spans="10:12" ht="19.5" customHeight="1">
      <c r="J2086" s="9"/>
      <c r="K2086" s="87"/>
      <c r="L2086" s="87"/>
    </row>
    <row r="2087" spans="10:12" ht="19.5" customHeight="1">
      <c r="J2087" s="9"/>
      <c r="K2087" s="87"/>
      <c r="L2087" s="87"/>
    </row>
    <row r="2088" spans="10:18" ht="19.5" customHeight="1">
      <c r="J2088" s="9"/>
      <c r="K2088" s="87"/>
      <c r="L2088" s="87"/>
      <c r="N2088" s="40"/>
      <c r="O2088" s="40"/>
      <c r="P2088" s="40"/>
      <c r="Q2088" s="40"/>
      <c r="R2088" s="40"/>
    </row>
    <row r="2089" spans="10:12" ht="19.5" customHeight="1">
      <c r="J2089" s="9"/>
      <c r="K2089" s="87"/>
      <c r="L2089" s="87"/>
    </row>
    <row r="2090" spans="10:21" ht="19.5" customHeight="1">
      <c r="J2090" s="9"/>
      <c r="K2090" s="87"/>
      <c r="L2090" s="87"/>
      <c r="S2090" s="83"/>
      <c r="T2090" s="83"/>
      <c r="U2090" s="83"/>
    </row>
    <row r="2091" spans="10:12" ht="19.5" customHeight="1">
      <c r="J2091" s="9"/>
      <c r="K2091" s="87"/>
      <c r="L2091" s="87"/>
    </row>
    <row r="2092" spans="10:12" ht="19.5" customHeight="1">
      <c r="J2092" s="10"/>
      <c r="K2092" s="87"/>
      <c r="L2092" s="87"/>
    </row>
    <row r="2093" spans="10:12" ht="19.5" customHeight="1">
      <c r="J2093" s="10"/>
      <c r="K2093" s="87"/>
      <c r="L2093" s="87"/>
    </row>
    <row r="2094" spans="10:12" ht="19.5" customHeight="1">
      <c r="J2094" s="10"/>
      <c r="K2094" s="87"/>
      <c r="L2094" s="87"/>
    </row>
    <row r="2095" spans="10:12" ht="19.5" customHeight="1">
      <c r="J2095" s="10"/>
      <c r="K2095" s="87"/>
      <c r="L2095" s="87"/>
    </row>
    <row r="2096" spans="11:18" ht="19.5" customHeight="1">
      <c r="K2096" s="87"/>
      <c r="L2096" s="87"/>
      <c r="N2096" s="40"/>
      <c r="O2096" s="40"/>
      <c r="P2096" s="40"/>
      <c r="Q2096" s="40"/>
      <c r="R2096" s="40"/>
    </row>
    <row r="2097" spans="11:12" ht="19.5" customHeight="1">
      <c r="K2097" s="87"/>
      <c r="L2097" s="87"/>
    </row>
    <row r="2098" spans="11:12" ht="19.5" customHeight="1">
      <c r="K2098" s="87"/>
      <c r="L2098" s="87"/>
    </row>
    <row r="2099" spans="11:12" ht="19.5" customHeight="1">
      <c r="K2099" s="87"/>
      <c r="L2099" s="87"/>
    </row>
    <row r="2100" spans="11:12" ht="19.5" customHeight="1">
      <c r="K2100" s="87"/>
      <c r="L2100" s="87"/>
    </row>
    <row r="2101" spans="11:12" ht="19.5" customHeight="1">
      <c r="K2101" s="87"/>
      <c r="L2101" s="87"/>
    </row>
    <row r="2102" spans="11:12" ht="19.5" customHeight="1">
      <c r="K2102" s="87"/>
      <c r="L2102" s="87"/>
    </row>
    <row r="2103" spans="11:12" ht="19.5" customHeight="1">
      <c r="K2103" s="87"/>
      <c r="L2103" s="87"/>
    </row>
    <row r="2104" spans="11:12" ht="19.5" customHeight="1">
      <c r="K2104" s="87"/>
      <c r="L2104" s="87"/>
    </row>
    <row r="2105" spans="11:12" ht="19.5" customHeight="1">
      <c r="K2105" s="87"/>
      <c r="L2105" s="87"/>
    </row>
    <row r="2106" spans="11:21" ht="19.5" customHeight="1">
      <c r="K2106" s="87"/>
      <c r="L2106" s="87"/>
      <c r="S2106" s="40"/>
      <c r="T2106" s="40"/>
      <c r="U2106" s="40"/>
    </row>
    <row r="2107" spans="11:12" ht="19.5" customHeight="1">
      <c r="K2107" s="87"/>
      <c r="L2107" s="87"/>
    </row>
    <row r="2108" spans="11:12" ht="19.5" customHeight="1">
      <c r="K2108" s="87"/>
      <c r="L2108" s="87"/>
    </row>
    <row r="2109" spans="11:12" ht="19.5" customHeight="1">
      <c r="K2109" s="87"/>
      <c r="L2109" s="87"/>
    </row>
    <row r="2110" spans="11:12" ht="19.5" customHeight="1">
      <c r="K2110" s="87"/>
      <c r="L2110" s="87"/>
    </row>
    <row r="2111" spans="11:12" ht="19.5" customHeight="1">
      <c r="K2111" s="87"/>
      <c r="L2111" s="87"/>
    </row>
    <row r="2112" spans="11:12" ht="19.5" customHeight="1">
      <c r="K2112" s="87"/>
      <c r="L2112" s="87"/>
    </row>
    <row r="2113" spans="11:12" ht="19.5" customHeight="1">
      <c r="K2113" s="87"/>
      <c r="L2113" s="87"/>
    </row>
    <row r="2151" spans="19:21" ht="19.5" customHeight="1">
      <c r="S2151" s="83"/>
      <c r="T2151" s="83"/>
      <c r="U2151" s="83"/>
    </row>
    <row r="2161" ht="19.5" customHeight="1">
      <c r="N2161" s="40"/>
    </row>
    <row r="2164" spans="19:21" ht="19.5" customHeight="1">
      <c r="S2164" s="83"/>
      <c r="T2164" s="83"/>
      <c r="U2164" s="83"/>
    </row>
    <row r="2167" spans="14:18" ht="19.5" customHeight="1">
      <c r="N2167" s="83"/>
      <c r="O2167" s="83"/>
      <c r="P2167" s="83"/>
      <c r="Q2167" s="83"/>
      <c r="R2167" s="83"/>
    </row>
    <row r="2170" spans="15:18" ht="19.5" customHeight="1">
      <c r="O2170" s="40"/>
      <c r="P2170" s="40"/>
      <c r="Q2170" s="40"/>
      <c r="R2170" s="40"/>
    </row>
    <row r="2183" ht="19.5" customHeight="1">
      <c r="N2183" s="40"/>
    </row>
    <row r="2192" spans="15:18" ht="19.5" customHeight="1">
      <c r="O2192" s="40"/>
      <c r="P2192" s="40"/>
      <c r="Q2192" s="40"/>
      <c r="R2192" s="40"/>
    </row>
    <row r="2228" spans="14:18" ht="19.5" customHeight="1">
      <c r="N2228" s="83"/>
      <c r="O2228" s="83"/>
      <c r="P2228" s="83"/>
      <c r="Q2228" s="83"/>
      <c r="R2228" s="83"/>
    </row>
    <row r="2241" spans="14:18" ht="19.5" customHeight="1">
      <c r="N2241" s="83"/>
      <c r="O2241" s="83"/>
      <c r="P2241" s="83"/>
      <c r="Q2241" s="83"/>
      <c r="R2241" s="83"/>
    </row>
  </sheetData>
  <sheetProtection password="CF52" sheet="1"/>
  <autoFilter ref="A3:A1687"/>
  <mergeCells count="561">
    <mergeCell ref="A782:C782"/>
    <mergeCell ref="I746:I747"/>
    <mergeCell ref="A308:C308"/>
    <mergeCell ref="T628:V628"/>
    <mergeCell ref="A719:C719"/>
    <mergeCell ref="P693:R693"/>
    <mergeCell ref="N687:S687"/>
    <mergeCell ref="L688:M688"/>
    <mergeCell ref="N688:S688"/>
    <mergeCell ref="L682:S682"/>
    <mergeCell ref="A889:C889"/>
    <mergeCell ref="M850:O850"/>
    <mergeCell ref="Q855:S855"/>
    <mergeCell ref="A652:C652"/>
    <mergeCell ref="Q690:R690"/>
    <mergeCell ref="A1023:C1023"/>
    <mergeCell ref="O692:P692"/>
    <mergeCell ref="Q692:R692"/>
    <mergeCell ref="N686:S686"/>
    <mergeCell ref="A973:C973"/>
    <mergeCell ref="A1641:C1641"/>
    <mergeCell ref="A1506:C1506"/>
    <mergeCell ref="A1627:C1627"/>
    <mergeCell ref="A1359:C1359"/>
    <mergeCell ref="A1533:C1533"/>
    <mergeCell ref="A1407:C1407"/>
    <mergeCell ref="A1406:I1406"/>
    <mergeCell ref="A1552:C1552"/>
    <mergeCell ref="A1609:C1609"/>
    <mergeCell ref="A1580:C1580"/>
    <mergeCell ref="L1086:N1086"/>
    <mergeCell ref="O836:Q836"/>
    <mergeCell ref="O690:P690"/>
    <mergeCell ref="A1320:I1320"/>
    <mergeCell ref="A1143:I1143"/>
    <mergeCell ref="A1417:C1417"/>
    <mergeCell ref="Q1255:S1255"/>
    <mergeCell ref="A1299:C1299"/>
    <mergeCell ref="A1384:C1384"/>
    <mergeCell ref="A1148:C1148"/>
    <mergeCell ref="M683:S683"/>
    <mergeCell ref="N684:S684"/>
    <mergeCell ref="M689:S689"/>
    <mergeCell ref="O691:P691"/>
    <mergeCell ref="Q691:R691"/>
    <mergeCell ref="N685:S685"/>
    <mergeCell ref="N669:S669"/>
    <mergeCell ref="N671:N673"/>
    <mergeCell ref="O671:R671"/>
    <mergeCell ref="O672:P672"/>
    <mergeCell ref="Q672:R672"/>
    <mergeCell ref="N675:O675"/>
    <mergeCell ref="N677:O677"/>
    <mergeCell ref="N680:O680"/>
    <mergeCell ref="M681:S681"/>
    <mergeCell ref="L669:M669"/>
    <mergeCell ref="A549:C549"/>
    <mergeCell ref="A480:C480"/>
    <mergeCell ref="A593:C593"/>
    <mergeCell ref="A635:C635"/>
    <mergeCell ref="A670:C670"/>
    <mergeCell ref="A678:C678"/>
    <mergeCell ref="A258:C258"/>
    <mergeCell ref="I553:I554"/>
    <mergeCell ref="A554:D554"/>
    <mergeCell ref="A448:C448"/>
    <mergeCell ref="A393:C393"/>
    <mergeCell ref="A580:C580"/>
    <mergeCell ref="A483:C483"/>
    <mergeCell ref="A449:I449"/>
    <mergeCell ref="A367:C367"/>
    <mergeCell ref="A364:I364"/>
    <mergeCell ref="C256:C257"/>
    <mergeCell ref="A5:I5"/>
    <mergeCell ref="A556:I556"/>
    <mergeCell ref="A20:C20"/>
    <mergeCell ref="A19:I19"/>
    <mergeCell ref="A157:C157"/>
    <mergeCell ref="I166:I167"/>
    <mergeCell ref="A204:C204"/>
    <mergeCell ref="A383:C383"/>
    <mergeCell ref="A169:C169"/>
    <mergeCell ref="P249:R249"/>
    <mergeCell ref="A276:C276"/>
    <mergeCell ref="A277:C277"/>
    <mergeCell ref="A299:C299"/>
    <mergeCell ref="D450:H450"/>
    <mergeCell ref="A396:C396"/>
    <mergeCell ref="A259:C259"/>
    <mergeCell ref="A275:C275"/>
    <mergeCell ref="B256:B257"/>
    <mergeCell ref="A392:C392"/>
    <mergeCell ref="A871:C871"/>
    <mergeCell ref="A736:C736"/>
    <mergeCell ref="A709:C709"/>
    <mergeCell ref="A651:I651"/>
    <mergeCell ref="A830:C830"/>
    <mergeCell ref="D746:H746"/>
    <mergeCell ref="A723:I723"/>
    <mergeCell ref="A724:C724"/>
    <mergeCell ref="A797:C797"/>
    <mergeCell ref="A764:C764"/>
    <mergeCell ref="A184:I184"/>
    <mergeCell ref="A842:C842"/>
    <mergeCell ref="A839:C839"/>
    <mergeCell ref="A336:C336"/>
    <mergeCell ref="A928:C928"/>
    <mergeCell ref="A854:C854"/>
    <mergeCell ref="A920:C920"/>
    <mergeCell ref="A827:C827"/>
    <mergeCell ref="I450:I451"/>
    <mergeCell ref="I633:I634"/>
    <mergeCell ref="A30:C30"/>
    <mergeCell ref="A13:C13"/>
    <mergeCell ref="A1630:C1630"/>
    <mergeCell ref="A1389:C1389"/>
    <mergeCell ref="I1234:I1235"/>
    <mergeCell ref="I1304:I1305"/>
    <mergeCell ref="I1386:I1387"/>
    <mergeCell ref="A632:I632"/>
    <mergeCell ref="A1464:I1464"/>
    <mergeCell ref="A1298:C1298"/>
    <mergeCell ref="Q10:S10"/>
    <mergeCell ref="Q13:S13"/>
    <mergeCell ref="A326:C326"/>
    <mergeCell ref="I558:I559"/>
    <mergeCell ref="I256:I257"/>
    <mergeCell ref="A555:D555"/>
    <mergeCell ref="A37:C37"/>
    <mergeCell ref="A446:C446"/>
    <mergeCell ref="A337:C337"/>
    <mergeCell ref="A251:C251"/>
    <mergeCell ref="C1037:C1038"/>
    <mergeCell ref="A1074:C1074"/>
    <mergeCell ref="A1097:C1097"/>
    <mergeCell ref="A1123:C1123"/>
    <mergeCell ref="A1132:C1132"/>
    <mergeCell ref="A1135:C1135"/>
    <mergeCell ref="A1111:I1111"/>
    <mergeCell ref="A1071:C1071"/>
    <mergeCell ref="A1082:C1082"/>
    <mergeCell ref="A1081:I1081"/>
    <mergeCell ref="A31:C31"/>
    <mergeCell ref="A32:C32"/>
    <mergeCell ref="A42:C42"/>
    <mergeCell ref="A36:C36"/>
    <mergeCell ref="A33:C33"/>
    <mergeCell ref="A1420:C1420"/>
    <mergeCell ref="A876:C876"/>
    <mergeCell ref="A838:C838"/>
    <mergeCell ref="A735:I735"/>
    <mergeCell ref="A1306:C1306"/>
    <mergeCell ref="D7:H7"/>
    <mergeCell ref="A7:A8"/>
    <mergeCell ref="A10:C10"/>
    <mergeCell ref="A1532:C1532"/>
    <mergeCell ref="A1531:C1531"/>
    <mergeCell ref="A35:C35"/>
    <mergeCell ref="A1424:C1424"/>
    <mergeCell ref="A1501:C1501"/>
    <mergeCell ref="C7:C8"/>
    <mergeCell ref="A435:C435"/>
    <mergeCell ref="A1:I1"/>
    <mergeCell ref="A2:I2"/>
    <mergeCell ref="A3:I3"/>
    <mergeCell ref="A4:I4"/>
    <mergeCell ref="A9:C9"/>
    <mergeCell ref="A34:C34"/>
    <mergeCell ref="A27:C27"/>
    <mergeCell ref="I7:I8"/>
    <mergeCell ref="A6:I6"/>
    <mergeCell ref="B7:B8"/>
    <mergeCell ref="A1597:I1597"/>
    <mergeCell ref="I1607:I1608"/>
    <mergeCell ref="A1598:C1598"/>
    <mergeCell ref="A1604:C1604"/>
    <mergeCell ref="A1603:C1603"/>
    <mergeCell ref="A1606:I1606"/>
    <mergeCell ref="A1534:C1534"/>
    <mergeCell ref="A1602:C1602"/>
    <mergeCell ref="I1499:I1500"/>
    <mergeCell ref="A1421:C1421"/>
    <mergeCell ref="A1520:C1520"/>
    <mergeCell ref="A1497:C1497"/>
    <mergeCell ref="A1495:C1495"/>
    <mergeCell ref="A1496:C1496"/>
    <mergeCell ref="A1451:C1451"/>
    <mergeCell ref="A1494:C1494"/>
    <mergeCell ref="B1499:B1500"/>
    <mergeCell ref="C1499:C1500"/>
    <mergeCell ref="D1304:H1304"/>
    <mergeCell ref="B1304:B1305"/>
    <mergeCell ref="A1304:A1305"/>
    <mergeCell ref="A1380:C1380"/>
    <mergeCell ref="A1419:C1419"/>
    <mergeCell ref="A1433:C1433"/>
    <mergeCell ref="A1321:C1321"/>
    <mergeCell ref="A1339:C1339"/>
    <mergeCell ref="A1159:C1159"/>
    <mergeCell ref="A1173:C1173"/>
    <mergeCell ref="A1140:D1140"/>
    <mergeCell ref="A1112:C1112"/>
    <mergeCell ref="A1498:I1498"/>
    <mergeCell ref="A1493:C1493"/>
    <mergeCell ref="A1167:C1167"/>
    <mergeCell ref="A1174:C1174"/>
    <mergeCell ref="I1145:I1147"/>
    <mergeCell ref="A1256:C1256"/>
    <mergeCell ref="D1037:H1037"/>
    <mergeCell ref="B1037:B1038"/>
    <mergeCell ref="A1075:C1075"/>
    <mergeCell ref="A1037:A1038"/>
    <mergeCell ref="I1037:I1038"/>
    <mergeCell ref="A1137:C1137"/>
    <mergeCell ref="A1072:C1072"/>
    <mergeCell ref="A1078:C1078"/>
    <mergeCell ref="A1067:C1067"/>
    <mergeCell ref="A1073:C1073"/>
    <mergeCell ref="A979:C979"/>
    <mergeCell ref="A1013:C1013"/>
    <mergeCell ref="A1031:C1031"/>
    <mergeCell ref="A1036:I1036"/>
    <mergeCell ref="A934:C934"/>
    <mergeCell ref="A962:C962"/>
    <mergeCell ref="A965:C965"/>
    <mergeCell ref="A966:C966"/>
    <mergeCell ref="A967:C967"/>
    <mergeCell ref="A1034:C1034"/>
    <mergeCell ref="A931:I931"/>
    <mergeCell ref="I932:I933"/>
    <mergeCell ref="A926:C926"/>
    <mergeCell ref="A929:C929"/>
    <mergeCell ref="A930:C930"/>
    <mergeCell ref="A927:C927"/>
    <mergeCell ref="C932:C933"/>
    <mergeCell ref="A590:C590"/>
    <mergeCell ref="A633:A634"/>
    <mergeCell ref="A552:C552"/>
    <mergeCell ref="A636:C636"/>
    <mergeCell ref="A572:I572"/>
    <mergeCell ref="A548:C548"/>
    <mergeCell ref="A560:C560"/>
    <mergeCell ref="A557:I557"/>
    <mergeCell ref="B558:B559"/>
    <mergeCell ref="D633:H633"/>
    <mergeCell ref="A679:C679"/>
    <mergeCell ref="A247:C247"/>
    <mergeCell ref="D558:H558"/>
    <mergeCell ref="A486:C486"/>
    <mergeCell ref="A558:A559"/>
    <mergeCell ref="A744:C744"/>
    <mergeCell ref="A628:C628"/>
    <mergeCell ref="A587:C587"/>
    <mergeCell ref="A586:I586"/>
    <mergeCell ref="A406:C406"/>
    <mergeCell ref="A631:C631"/>
    <mergeCell ref="A551:C551"/>
    <mergeCell ref="B633:B634"/>
    <mergeCell ref="A473:C473"/>
    <mergeCell ref="C365:C366"/>
    <mergeCell ref="I365:I366"/>
    <mergeCell ref="B365:B366"/>
    <mergeCell ref="A390:C390"/>
    <mergeCell ref="A368:C368"/>
    <mergeCell ref="A430:C430"/>
    <mergeCell ref="A160:C160"/>
    <mergeCell ref="A254:C254"/>
    <mergeCell ref="A353:C353"/>
    <mergeCell ref="A360:C360"/>
    <mergeCell ref="A359:C359"/>
    <mergeCell ref="A161:C161"/>
    <mergeCell ref="A255:I255"/>
    <mergeCell ref="A265:C265"/>
    <mergeCell ref="A346:C346"/>
    <mergeCell ref="A279:C279"/>
    <mergeCell ref="A130:C130"/>
    <mergeCell ref="A250:C250"/>
    <mergeCell ref="A168:C168"/>
    <mergeCell ref="A201:C201"/>
    <mergeCell ref="A252:C252"/>
    <mergeCell ref="A200:C200"/>
    <mergeCell ref="A185:C185"/>
    <mergeCell ref="A165:I165"/>
    <mergeCell ref="A140:C140"/>
    <mergeCell ref="A156:I156"/>
    <mergeCell ref="A57:C57"/>
    <mergeCell ref="D166:H166"/>
    <mergeCell ref="B166:B167"/>
    <mergeCell ref="A80:C80"/>
    <mergeCell ref="A81:C81"/>
    <mergeCell ref="A73:C73"/>
    <mergeCell ref="A79:C79"/>
    <mergeCell ref="C166:C167"/>
    <mergeCell ref="A82:C82"/>
    <mergeCell ref="B85:B86"/>
    <mergeCell ref="Q456:S456"/>
    <mergeCell ref="A612:C612"/>
    <mergeCell ref="Q235:S235"/>
    <mergeCell ref="A677:C677"/>
    <mergeCell ref="D365:H365"/>
    <mergeCell ref="A271:C271"/>
    <mergeCell ref="N291:P291"/>
    <mergeCell ref="N535:P535"/>
    <mergeCell ref="A391:C391"/>
    <mergeCell ref="A423:C423"/>
    <mergeCell ref="A740:C740"/>
    <mergeCell ref="M111:O111"/>
    <mergeCell ref="A222:C222"/>
    <mergeCell ref="A83:C83"/>
    <mergeCell ref="A87:C87"/>
    <mergeCell ref="C85:C86"/>
    <mergeCell ref="A85:A86"/>
    <mergeCell ref="A84:I84"/>
    <mergeCell ref="A172:C172"/>
    <mergeCell ref="A166:A167"/>
    <mergeCell ref="A1681:C1681"/>
    <mergeCell ref="A362:C362"/>
    <mergeCell ref="A195:C195"/>
    <mergeCell ref="A1383:C1383"/>
    <mergeCell ref="B1386:B1387"/>
    <mergeCell ref="C1386:C1387"/>
    <mergeCell ref="A434:I434"/>
    <mergeCell ref="A394:C394"/>
    <mergeCell ref="A545:C545"/>
    <mergeCell ref="A1679:C1679"/>
    <mergeCell ref="A1686:I1686"/>
    <mergeCell ref="A623:C623"/>
    <mergeCell ref="A485:C485"/>
    <mergeCell ref="A629:C629"/>
    <mergeCell ref="A630:C630"/>
    <mergeCell ref="A680:C680"/>
    <mergeCell ref="A1483:C1483"/>
    <mergeCell ref="A1675:C1675"/>
    <mergeCell ref="A1678:C1678"/>
    <mergeCell ref="A1680:C1680"/>
    <mergeCell ref="D85:H85"/>
    <mergeCell ref="A1184:C1184"/>
    <mergeCell ref="A1183:I1183"/>
    <mergeCell ref="A741:C741"/>
    <mergeCell ref="A745:I745"/>
    <mergeCell ref="A748:C748"/>
    <mergeCell ref="A995:I995"/>
    <mergeCell ref="A162:C162"/>
    <mergeCell ref="A163:C163"/>
    <mergeCell ref="A164:C164"/>
    <mergeCell ref="A117:C117"/>
    <mergeCell ref="A109:C109"/>
    <mergeCell ref="A110:C110"/>
    <mergeCell ref="A278:C278"/>
    <mergeCell ref="A199:C199"/>
    <mergeCell ref="A256:A257"/>
    <mergeCell ref="A243:C243"/>
    <mergeCell ref="A233:C233"/>
    <mergeCell ref="A232:I232"/>
    <mergeCell ref="A253:C253"/>
    <mergeCell ref="A834:C834"/>
    <mergeCell ref="D836:H836"/>
    <mergeCell ref="B836:B837"/>
    <mergeCell ref="I836:I837"/>
    <mergeCell ref="A592:C592"/>
    <mergeCell ref="A447:C447"/>
    <mergeCell ref="A489:C489"/>
    <mergeCell ref="C450:C451"/>
    <mergeCell ref="A450:A451"/>
    <mergeCell ref="A487:C487"/>
    <mergeCell ref="A1032:C1032"/>
    <mergeCell ref="A963:C963"/>
    <mergeCell ref="D932:H932"/>
    <mergeCell ref="A938:C938"/>
    <mergeCell ref="A1035:C1035"/>
    <mergeCell ref="B932:B933"/>
    <mergeCell ref="A968:C968"/>
    <mergeCell ref="A964:C964"/>
    <mergeCell ref="A932:A933"/>
    <mergeCell ref="A1033:C1033"/>
    <mergeCell ref="A1176:C1176"/>
    <mergeCell ref="A1141:D1141"/>
    <mergeCell ref="A1142:D1142"/>
    <mergeCell ref="A1151:C1151"/>
    <mergeCell ref="A1136:C1136"/>
    <mergeCell ref="A1158:I1158"/>
    <mergeCell ref="A1139:C1139"/>
    <mergeCell ref="A1145:A1146"/>
    <mergeCell ref="A1147:C1147"/>
    <mergeCell ref="A1144:I1144"/>
    <mergeCell ref="A959:C959"/>
    <mergeCell ref="A1231:C1231"/>
    <mergeCell ref="A1257:C1257"/>
    <mergeCell ref="A1234:A1235"/>
    <mergeCell ref="A1039:C1039"/>
    <mergeCell ref="A947:I947"/>
    <mergeCell ref="A948:C948"/>
    <mergeCell ref="B1145:B1146"/>
    <mergeCell ref="C1145:C1146"/>
    <mergeCell ref="A1232:C1232"/>
    <mergeCell ref="I1140:I1141"/>
    <mergeCell ref="A1262:C1262"/>
    <mergeCell ref="A1172:C1172"/>
    <mergeCell ref="A1236:C1236"/>
    <mergeCell ref="A1175:C1175"/>
    <mergeCell ref="A1230:C1230"/>
    <mergeCell ref="A1224:C1224"/>
    <mergeCell ref="A1228:C1228"/>
    <mergeCell ref="A1229:C1229"/>
    <mergeCell ref="A1180:C1180"/>
    <mergeCell ref="A1202:C1202"/>
    <mergeCell ref="A1255:C1255"/>
    <mergeCell ref="A1238:C1238"/>
    <mergeCell ref="B1234:B1235"/>
    <mergeCell ref="C1234:C1235"/>
    <mergeCell ref="A1233:I1233"/>
    <mergeCell ref="A1248:C1248"/>
    <mergeCell ref="A1220:C1220"/>
    <mergeCell ref="A1310:C1310"/>
    <mergeCell ref="A1251:C1251"/>
    <mergeCell ref="A1254:C1254"/>
    <mergeCell ref="A1303:I1303"/>
    <mergeCell ref="A1300:C1300"/>
    <mergeCell ref="A1301:C1301"/>
    <mergeCell ref="A1302:C1302"/>
    <mergeCell ref="C1304:C1305"/>
    <mergeCell ref="A1338:C1338"/>
    <mergeCell ref="A1659:C1659"/>
    <mergeCell ref="A1607:A1608"/>
    <mergeCell ref="B1607:B1608"/>
    <mergeCell ref="A1418:C1418"/>
    <mergeCell ref="A1381:C1381"/>
    <mergeCell ref="A1382:C1382"/>
    <mergeCell ref="A1386:A1387"/>
    <mergeCell ref="A1385:I1385"/>
    <mergeCell ref="A1388:C1388"/>
    <mergeCell ref="A1402:C1402"/>
    <mergeCell ref="A742:C742"/>
    <mergeCell ref="A743:C743"/>
    <mergeCell ref="A686:C686"/>
    <mergeCell ref="A581:C581"/>
    <mergeCell ref="A663:C663"/>
    <mergeCell ref="A900:C900"/>
    <mergeCell ref="C633:C634"/>
    <mergeCell ref="A832:C832"/>
    <mergeCell ref="A835:I835"/>
    <mergeCell ref="C836:C837"/>
    <mergeCell ref="A440:I440"/>
    <mergeCell ref="A488:C488"/>
    <mergeCell ref="A453:C453"/>
    <mergeCell ref="B450:B451"/>
    <mergeCell ref="A444:C444"/>
    <mergeCell ref="A452:C452"/>
    <mergeCell ref="A445:C445"/>
    <mergeCell ref="A484:C484"/>
    <mergeCell ref="A553:D553"/>
    <mergeCell ref="A363:C363"/>
    <mergeCell ref="A361:C361"/>
    <mergeCell ref="D256:H256"/>
    <mergeCell ref="A365:A366"/>
    <mergeCell ref="A395:C395"/>
    <mergeCell ref="Q615:S615"/>
    <mergeCell ref="Q280:S280"/>
    <mergeCell ref="Q317:S317"/>
    <mergeCell ref="Q322:S322"/>
    <mergeCell ref="Q337:S337"/>
    <mergeCell ref="A441:C441"/>
    <mergeCell ref="A627:C627"/>
    <mergeCell ref="A591:C591"/>
    <mergeCell ref="A550:C550"/>
    <mergeCell ref="A573:C573"/>
    <mergeCell ref="A561:C561"/>
    <mergeCell ref="A564:C564"/>
    <mergeCell ref="C558:C559"/>
    <mergeCell ref="A598:C598"/>
    <mergeCell ref="A565:C565"/>
    <mergeCell ref="C746:C747"/>
    <mergeCell ref="A746:A747"/>
    <mergeCell ref="A767:C767"/>
    <mergeCell ref="A773:C773"/>
    <mergeCell ref="A823:C823"/>
    <mergeCell ref="B746:B747"/>
    <mergeCell ref="A771:C771"/>
    <mergeCell ref="A772:C772"/>
    <mergeCell ref="A752:C752"/>
    <mergeCell ref="A804:I804"/>
    <mergeCell ref="A872:C872"/>
    <mergeCell ref="A1416:C1416"/>
    <mergeCell ref="D1234:H1234"/>
    <mergeCell ref="A996:C996"/>
    <mergeCell ref="A1490:C1490"/>
    <mergeCell ref="A1499:A1500"/>
    <mergeCell ref="D1386:H1386"/>
    <mergeCell ref="A1372:C1372"/>
    <mergeCell ref="A1278:C1278"/>
    <mergeCell ref="A1346:C1346"/>
    <mergeCell ref="A1643:C1643"/>
    <mergeCell ref="A1633:C1633"/>
    <mergeCell ref="A1340:C1340"/>
    <mergeCell ref="A1685:D1685"/>
    <mergeCell ref="A1527:C1527"/>
    <mergeCell ref="A1605:C1605"/>
    <mergeCell ref="A1538:C1538"/>
    <mergeCell ref="A1610:C1610"/>
    <mergeCell ref="A1631:C1631"/>
    <mergeCell ref="A1668:C1668"/>
    <mergeCell ref="A1415:B1415"/>
    <mergeCell ref="A1237:C1237"/>
    <mergeCell ref="S1344:U1344"/>
    <mergeCell ref="A1465:C1465"/>
    <mergeCell ref="A1288:C1288"/>
    <mergeCell ref="A1601:C1601"/>
    <mergeCell ref="A1376:C1376"/>
    <mergeCell ref="A1307:C1307"/>
    <mergeCell ref="D1499:H1499"/>
    <mergeCell ref="A1334:C1334"/>
    <mergeCell ref="A1683:D1683"/>
    <mergeCell ref="I1683:I1684"/>
    <mergeCell ref="A1684:D1684"/>
    <mergeCell ref="D1607:H1607"/>
    <mergeCell ref="C1607:C1608"/>
    <mergeCell ref="A1632:C1632"/>
    <mergeCell ref="A1613:C1613"/>
    <mergeCell ref="A1624:C1624"/>
    <mergeCell ref="A1682:C1682"/>
    <mergeCell ref="A1634:C1634"/>
    <mergeCell ref="A777:C777"/>
    <mergeCell ref="A776:C776"/>
    <mergeCell ref="A870:C870"/>
    <mergeCell ref="A1047:C1047"/>
    <mergeCell ref="A1046:I1046"/>
    <mergeCell ref="A831:C831"/>
    <mergeCell ref="A853:I853"/>
    <mergeCell ref="A833:C833"/>
    <mergeCell ref="A836:A837"/>
    <mergeCell ref="A1040:C1040"/>
    <mergeCell ref="Q258:S258"/>
    <mergeCell ref="Q273:S273"/>
    <mergeCell ref="A295:C295"/>
    <mergeCell ref="A294:I294"/>
    <mergeCell ref="A399:C399"/>
    <mergeCell ref="A640:C640"/>
    <mergeCell ref="R575:T575"/>
    <mergeCell ref="A510:C510"/>
    <mergeCell ref="Q340:X340"/>
    <mergeCell ref="Q341:S341"/>
    <mergeCell ref="A66:C66"/>
    <mergeCell ref="P76:R76"/>
    <mergeCell ref="P80:X80"/>
    <mergeCell ref="P81:R81"/>
    <mergeCell ref="Q140:S140"/>
    <mergeCell ref="A101:C101"/>
    <mergeCell ref="A91:C91"/>
    <mergeCell ref="S90:U90"/>
    <mergeCell ref="I85:I86"/>
    <mergeCell ref="A108:C108"/>
    <mergeCell ref="A805:C805"/>
    <mergeCell ref="A88:C88"/>
    <mergeCell ref="A524:I524"/>
    <mergeCell ref="A525:C525"/>
    <mergeCell ref="A1567:C1567"/>
    <mergeCell ref="A1566:I1566"/>
    <mergeCell ref="A774:C774"/>
    <mergeCell ref="A775:C775"/>
    <mergeCell ref="A1138:C1138"/>
    <mergeCell ref="D1145:H1145"/>
  </mergeCells>
  <printOptions horizontalCentered="1"/>
  <pageMargins left="0" right="0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4"/>
  <sheetViews>
    <sheetView zoomScalePageLayoutView="0" workbookViewId="0" topLeftCell="A1">
      <selection activeCell="A20" sqref="A20:IV20"/>
    </sheetView>
  </sheetViews>
  <sheetFormatPr defaultColWidth="9.00390625" defaultRowHeight="12.75" outlineLevelCol="1"/>
  <cols>
    <col min="1" max="1" width="3.125" style="119" customWidth="1"/>
    <col min="2" max="2" width="46.375" style="120" customWidth="1"/>
    <col min="3" max="3" width="8.00390625" style="119" customWidth="1"/>
    <col min="4" max="4" width="4.00390625" style="119" hidden="1" customWidth="1" outlineLevel="1"/>
    <col min="5" max="5" width="7.875" style="121" customWidth="1" collapsed="1"/>
    <col min="6" max="23" width="4.00390625" style="122" customWidth="1"/>
    <col min="24" max="24" width="5.25390625" style="119" customWidth="1"/>
    <col min="25" max="25" width="6.75390625" style="119" customWidth="1"/>
    <col min="26" max="26" width="6.875" style="119" customWidth="1"/>
    <col min="27" max="16384" width="9.125" style="5" customWidth="1"/>
  </cols>
  <sheetData>
    <row r="1" spans="1:26" ht="16.5" customHeight="1" thickBot="1">
      <c r="A1" s="745" t="s">
        <v>573</v>
      </c>
      <c r="B1" s="745"/>
      <c r="C1" s="745"/>
      <c r="D1" s="745"/>
      <c r="E1" s="745"/>
      <c r="F1" s="745"/>
      <c r="G1" s="745"/>
      <c r="H1" s="745"/>
      <c r="I1" s="745"/>
      <c r="J1" s="745"/>
      <c r="K1" s="745"/>
      <c r="L1" s="745"/>
      <c r="M1" s="745"/>
      <c r="N1" s="745"/>
      <c r="O1" s="745"/>
      <c r="P1" s="745"/>
      <c r="Q1" s="745"/>
      <c r="R1" s="745"/>
      <c r="S1" s="745"/>
      <c r="T1" s="745"/>
      <c r="U1" s="745"/>
      <c r="V1" s="745"/>
      <c r="W1" s="745"/>
      <c r="X1" s="745"/>
      <c r="Y1" s="745"/>
      <c r="Z1" s="745"/>
    </row>
    <row r="2" spans="1:26" s="95" customFormat="1" ht="15.75" customHeight="1">
      <c r="A2" s="746">
        <v>20</v>
      </c>
      <c r="B2" s="748" t="s">
        <v>36</v>
      </c>
      <c r="C2" s="750" t="s">
        <v>196</v>
      </c>
      <c r="D2" s="750" t="s">
        <v>87</v>
      </c>
      <c r="E2" s="750" t="s">
        <v>315</v>
      </c>
      <c r="F2" s="754" t="s">
        <v>390</v>
      </c>
      <c r="G2" s="754"/>
      <c r="H2" s="754"/>
      <c r="I2" s="754"/>
      <c r="J2" s="754"/>
      <c r="K2" s="754"/>
      <c r="L2" s="754"/>
      <c r="M2" s="754"/>
      <c r="N2" s="754"/>
      <c r="O2" s="754"/>
      <c r="P2" s="754"/>
      <c r="Q2" s="754"/>
      <c r="R2" s="754"/>
      <c r="S2" s="754"/>
      <c r="T2" s="754"/>
      <c r="U2" s="754"/>
      <c r="V2" s="754"/>
      <c r="W2" s="754"/>
      <c r="X2" s="752" t="s">
        <v>386</v>
      </c>
      <c r="Y2" s="754" t="s">
        <v>77</v>
      </c>
      <c r="Z2" s="756" t="s">
        <v>37</v>
      </c>
    </row>
    <row r="3" spans="1:26" s="95" customFormat="1" ht="15.75" customHeight="1">
      <c r="A3" s="747"/>
      <c r="B3" s="749"/>
      <c r="C3" s="751"/>
      <c r="D3" s="751"/>
      <c r="E3" s="751"/>
      <c r="F3" s="755" t="s">
        <v>38</v>
      </c>
      <c r="G3" s="755"/>
      <c r="H3" s="755"/>
      <c r="I3" s="755"/>
      <c r="J3" s="755"/>
      <c r="K3" s="755"/>
      <c r="L3" s="755"/>
      <c r="M3" s="755"/>
      <c r="N3" s="755"/>
      <c r="O3" s="755"/>
      <c r="P3" s="755"/>
      <c r="Q3" s="755"/>
      <c r="R3" s="755"/>
      <c r="S3" s="755"/>
      <c r="T3" s="755"/>
      <c r="U3" s="755"/>
      <c r="V3" s="755"/>
      <c r="W3" s="755"/>
      <c r="X3" s="753"/>
      <c r="Y3" s="755"/>
      <c r="Z3" s="757"/>
    </row>
    <row r="4" spans="1:26" s="95" customFormat="1" ht="23.25" customHeight="1">
      <c r="A4" s="747"/>
      <c r="B4" s="749"/>
      <c r="C4" s="751"/>
      <c r="D4" s="751"/>
      <c r="E4" s="751"/>
      <c r="F4" s="116">
        <v>1</v>
      </c>
      <c r="G4" s="116">
        <v>2</v>
      </c>
      <c r="H4" s="116">
        <v>3</v>
      </c>
      <c r="I4" s="116">
        <v>4</v>
      </c>
      <c r="J4" s="116">
        <v>5</v>
      </c>
      <c r="K4" s="116">
        <v>6</v>
      </c>
      <c r="L4" s="116">
        <v>7</v>
      </c>
      <c r="M4" s="116">
        <v>8</v>
      </c>
      <c r="N4" s="116">
        <v>9</v>
      </c>
      <c r="O4" s="116">
        <v>10</v>
      </c>
      <c r="P4" s="116">
        <v>11</v>
      </c>
      <c r="Q4" s="116">
        <v>12</v>
      </c>
      <c r="R4" s="116">
        <v>13</v>
      </c>
      <c r="S4" s="116">
        <v>14</v>
      </c>
      <c r="T4" s="116">
        <v>15</v>
      </c>
      <c r="U4" s="116">
        <v>16</v>
      </c>
      <c r="V4" s="116">
        <v>17</v>
      </c>
      <c r="W4" s="116">
        <v>18</v>
      </c>
      <c r="X4" s="753"/>
      <c r="Y4" s="755"/>
      <c r="Z4" s="757"/>
    </row>
    <row r="5" spans="1:26" s="40" customFormat="1" ht="13.5" customHeight="1">
      <c r="A5" s="542">
        <v>1</v>
      </c>
      <c r="B5" s="29" t="s">
        <v>180</v>
      </c>
      <c r="C5" s="60">
        <v>120</v>
      </c>
      <c r="D5" s="60">
        <v>45</v>
      </c>
      <c r="E5" s="141">
        <f>C5*D5/100</f>
        <v>54</v>
      </c>
      <c r="F5" s="203">
        <f>Меню!L8</f>
        <v>60</v>
      </c>
      <c r="G5" s="204">
        <f>Меню!L89</f>
        <v>40</v>
      </c>
      <c r="H5" s="204">
        <f>Меню!L169</f>
        <v>60</v>
      </c>
      <c r="I5" s="204">
        <f>Меню!L282</f>
        <v>60</v>
      </c>
      <c r="J5" s="204">
        <f>Меню!L388</f>
        <v>60</v>
      </c>
      <c r="K5" s="204">
        <f>Меню!L465</f>
        <v>60</v>
      </c>
      <c r="L5" s="204">
        <f>Меню!L538</f>
        <v>40</v>
      </c>
      <c r="M5" s="203">
        <f>Меню!P638</f>
        <v>40</v>
      </c>
      <c r="N5" s="203">
        <f>Меню!M638</f>
        <v>60</v>
      </c>
      <c r="O5" s="203">
        <f>Меню!L799</f>
        <v>50</v>
      </c>
      <c r="P5" s="203">
        <f>Меню!N933</f>
        <v>60</v>
      </c>
      <c r="Q5" s="203">
        <f>Меню!L980</f>
        <v>60</v>
      </c>
      <c r="R5" s="203">
        <f>Меню!Q1156</f>
        <v>40</v>
      </c>
      <c r="S5" s="203">
        <f>Меню!L1181</f>
        <v>60</v>
      </c>
      <c r="T5" s="203">
        <f>Меню!L1272</f>
        <v>40</v>
      </c>
      <c r="U5" s="203">
        <f>Меню!L1353</f>
        <v>60</v>
      </c>
      <c r="V5" s="203">
        <f>Меню!L1480</f>
        <v>30</v>
      </c>
      <c r="W5" s="203">
        <f>Меню!L1540</f>
        <v>60</v>
      </c>
      <c r="X5" s="203">
        <f aca="true" t="shared" si="0" ref="X5:X35">SUM(F5:W5)</f>
        <v>940</v>
      </c>
      <c r="Y5" s="205">
        <f>X5/18</f>
        <v>52.22222222222222</v>
      </c>
      <c r="Z5" s="543">
        <f aca="true" t="shared" si="1" ref="Z5:Z35">Y5*100/E5</f>
        <v>96.70781893004114</v>
      </c>
    </row>
    <row r="6" spans="1:26" s="40" customFormat="1" ht="13.5" customHeight="1">
      <c r="A6" s="542">
        <v>2</v>
      </c>
      <c r="B6" s="29" t="s">
        <v>35</v>
      </c>
      <c r="C6" s="60">
        <v>200</v>
      </c>
      <c r="D6" s="60">
        <v>55</v>
      </c>
      <c r="E6" s="141">
        <f aca="true" t="shared" si="2" ref="E6:E35">C6*D6/100</f>
        <v>110</v>
      </c>
      <c r="F6" s="203">
        <f>Меню!L9</f>
        <v>110</v>
      </c>
      <c r="G6" s="204">
        <f>Меню!L90</f>
        <v>144</v>
      </c>
      <c r="H6" s="204">
        <f>Меню!L170</f>
        <v>90</v>
      </c>
      <c r="I6" s="204">
        <f>Меню!L283</f>
        <v>128</v>
      </c>
      <c r="J6" s="204">
        <f>Меню!L389</f>
        <v>60</v>
      </c>
      <c r="K6" s="204">
        <f>Меню!L466</f>
        <v>82</v>
      </c>
      <c r="L6" s="204">
        <f>Меню!L539</f>
        <v>110</v>
      </c>
      <c r="M6" s="203">
        <f>Меню!P639</f>
        <v>109</v>
      </c>
      <c r="N6" s="203">
        <f>Меню!M639</f>
        <v>88</v>
      </c>
      <c r="O6" s="203">
        <f>Меню!L800</f>
        <v>108</v>
      </c>
      <c r="P6" s="203">
        <f>Меню!N934</f>
        <v>128</v>
      </c>
      <c r="Q6" s="203">
        <f>Меню!L981</f>
        <v>112</v>
      </c>
      <c r="R6" s="203">
        <f>Меню!Q1157</f>
        <v>140</v>
      </c>
      <c r="S6" s="203">
        <f>Меню!L1182</f>
        <v>97</v>
      </c>
      <c r="T6" s="203">
        <f>Меню!L1273</f>
        <v>111</v>
      </c>
      <c r="U6" s="203">
        <f>Меню!L1354</f>
        <v>96</v>
      </c>
      <c r="V6" s="203">
        <f>Меню!L1481</f>
        <v>126</v>
      </c>
      <c r="W6" s="203">
        <f>Меню!L1541</f>
        <v>78</v>
      </c>
      <c r="X6" s="203">
        <f t="shared" si="0"/>
        <v>1917</v>
      </c>
      <c r="Y6" s="205">
        <f aca="true" t="shared" si="3" ref="Y6:Y35">X6/18</f>
        <v>106.5</v>
      </c>
      <c r="Z6" s="543">
        <f t="shared" si="1"/>
        <v>96.81818181818181</v>
      </c>
    </row>
    <row r="7" spans="1:26" s="40" customFormat="1" ht="13.5" customHeight="1">
      <c r="A7" s="542">
        <v>3</v>
      </c>
      <c r="B7" s="28" t="s">
        <v>88</v>
      </c>
      <c r="C7" s="60">
        <v>20</v>
      </c>
      <c r="D7" s="60">
        <v>50</v>
      </c>
      <c r="E7" s="141">
        <f t="shared" si="2"/>
        <v>10</v>
      </c>
      <c r="F7" s="203">
        <f>Меню!L10</f>
        <v>4.5</v>
      </c>
      <c r="G7" s="204">
        <f>Меню!L91</f>
        <v>14.3</v>
      </c>
      <c r="H7" s="204">
        <f>Меню!L171</f>
        <v>21.3</v>
      </c>
      <c r="I7" s="204">
        <f>Меню!L284</f>
        <v>1.3</v>
      </c>
      <c r="J7" s="204">
        <f>Меню!L390</f>
        <v>4</v>
      </c>
      <c r="K7" s="204">
        <f>Меню!L467</f>
        <v>13.3</v>
      </c>
      <c r="L7" s="204">
        <f>Меню!L540</f>
        <v>0</v>
      </c>
      <c r="M7" s="203">
        <f>Меню!P640</f>
        <v>0</v>
      </c>
      <c r="N7" s="203">
        <f>Меню!M640</f>
        <v>3</v>
      </c>
      <c r="O7" s="203">
        <f>Меню!L801</f>
        <v>19.7</v>
      </c>
      <c r="P7" s="203">
        <f>Меню!N935</f>
        <v>0</v>
      </c>
      <c r="Q7" s="203">
        <f>Меню!L982</f>
        <v>35</v>
      </c>
      <c r="R7" s="203">
        <f>Меню!Q1158</f>
        <v>2.3</v>
      </c>
      <c r="S7" s="203">
        <f>Меню!L1183</f>
        <v>16</v>
      </c>
      <c r="T7" s="203">
        <f>Меню!L1274</f>
        <v>15</v>
      </c>
      <c r="U7" s="203">
        <f>Меню!L1355</f>
        <v>13.600000000000001</v>
      </c>
      <c r="V7" s="203">
        <f>Меню!L1482</f>
        <v>5</v>
      </c>
      <c r="W7" s="203">
        <f>Меню!L1542</f>
        <v>10</v>
      </c>
      <c r="X7" s="203">
        <f t="shared" si="0"/>
        <v>178.29999999999998</v>
      </c>
      <c r="Y7" s="205">
        <f t="shared" si="3"/>
        <v>9.905555555555555</v>
      </c>
      <c r="Z7" s="543">
        <f t="shared" si="1"/>
        <v>99.05555555555556</v>
      </c>
    </row>
    <row r="8" spans="1:26" s="40" customFormat="1" ht="13.5" customHeight="1">
      <c r="A8" s="542">
        <v>4</v>
      </c>
      <c r="B8" s="29" t="s">
        <v>66</v>
      </c>
      <c r="C8" s="206">
        <v>50</v>
      </c>
      <c r="D8" s="60">
        <v>90</v>
      </c>
      <c r="E8" s="141">
        <f t="shared" si="2"/>
        <v>45</v>
      </c>
      <c r="F8" s="203">
        <f>Меню!L11</f>
        <v>30</v>
      </c>
      <c r="G8" s="204">
        <f>Меню!L92</f>
        <v>16.666666666666668</v>
      </c>
      <c r="H8" s="204">
        <f>Меню!L172</f>
        <v>52</v>
      </c>
      <c r="I8" s="204">
        <f>Меню!L285</f>
        <v>0</v>
      </c>
      <c r="J8" s="204">
        <f>Меню!L391</f>
        <v>63</v>
      </c>
      <c r="K8" s="204">
        <f>Меню!L468</f>
        <v>50</v>
      </c>
      <c r="L8" s="204">
        <f>Меню!L541</f>
        <v>108</v>
      </c>
      <c r="M8" s="203">
        <f>Меню!P641</f>
        <v>70</v>
      </c>
      <c r="N8" s="203">
        <f>Меню!M641</f>
        <v>45</v>
      </c>
      <c r="O8" s="203">
        <f>Меню!L802</f>
        <v>4</v>
      </c>
      <c r="P8" s="203">
        <f>Меню!N936</f>
        <v>51</v>
      </c>
      <c r="Q8" s="203">
        <f>Меню!L983</f>
        <v>40</v>
      </c>
      <c r="R8" s="203">
        <f>Меню!Q1159</f>
        <v>89</v>
      </c>
      <c r="S8" s="203">
        <f>Меню!L1184</f>
        <v>45</v>
      </c>
      <c r="T8" s="203">
        <f>Меню!L1275</f>
        <v>80.2</v>
      </c>
      <c r="U8" s="203">
        <f>Меню!L1356</f>
        <v>45</v>
      </c>
      <c r="V8" s="203">
        <f>Меню!L1483</f>
        <v>5</v>
      </c>
      <c r="W8" s="203">
        <f>Меню!L1543</f>
        <v>0</v>
      </c>
      <c r="X8" s="203">
        <f t="shared" si="0"/>
        <v>793.8666666666668</v>
      </c>
      <c r="Y8" s="205">
        <f t="shared" si="3"/>
        <v>44.10370370370371</v>
      </c>
      <c r="Z8" s="543">
        <f t="shared" si="1"/>
        <v>98.0082304526749</v>
      </c>
    </row>
    <row r="9" spans="1:26" s="40" customFormat="1" ht="13.5" customHeight="1">
      <c r="A9" s="542">
        <v>5</v>
      </c>
      <c r="B9" s="29" t="s">
        <v>80</v>
      </c>
      <c r="C9" s="206">
        <v>20</v>
      </c>
      <c r="D9" s="60">
        <v>80</v>
      </c>
      <c r="E9" s="141">
        <f t="shared" si="2"/>
        <v>16</v>
      </c>
      <c r="F9" s="203">
        <f>Меню!L12</f>
        <v>0</v>
      </c>
      <c r="G9" s="204">
        <f>Меню!L93</f>
        <v>64</v>
      </c>
      <c r="H9" s="204">
        <f>Меню!L173</f>
        <v>0</v>
      </c>
      <c r="I9" s="204">
        <f>Меню!L286</f>
        <v>20</v>
      </c>
      <c r="J9" s="204">
        <f>Меню!L392</f>
        <v>0</v>
      </c>
      <c r="K9" s="204">
        <f>Меню!L469</f>
        <v>0</v>
      </c>
      <c r="L9" s="204">
        <f>Меню!L542</f>
        <v>0</v>
      </c>
      <c r="M9" s="203">
        <f>Меню!P642</f>
        <v>0</v>
      </c>
      <c r="N9" s="203">
        <f>Меню!M642</f>
        <v>64</v>
      </c>
      <c r="O9" s="203">
        <f>Меню!L803</f>
        <v>0</v>
      </c>
      <c r="P9" s="203">
        <f>Меню!N937</f>
        <v>0</v>
      </c>
      <c r="Q9" s="203">
        <f>Меню!L984</f>
        <v>0</v>
      </c>
      <c r="R9" s="203">
        <f>Меню!Q1160</f>
        <v>0</v>
      </c>
      <c r="S9" s="203">
        <f>Меню!L1185</f>
        <v>64</v>
      </c>
      <c r="T9" s="203">
        <f>Меню!L1276</f>
        <v>0</v>
      </c>
      <c r="U9" s="203">
        <f>Меню!L1357</f>
        <v>20</v>
      </c>
      <c r="V9" s="203">
        <f>Меню!L1484</f>
        <v>0</v>
      </c>
      <c r="W9" s="203">
        <f>Меню!L1544</f>
        <v>64</v>
      </c>
      <c r="X9" s="203">
        <f t="shared" si="0"/>
        <v>296</v>
      </c>
      <c r="Y9" s="205">
        <f t="shared" si="3"/>
        <v>16.444444444444443</v>
      </c>
      <c r="Z9" s="543">
        <f t="shared" si="1"/>
        <v>102.77777777777777</v>
      </c>
    </row>
    <row r="10" spans="1:26" s="40" customFormat="1" ht="13.5" customHeight="1">
      <c r="A10" s="542">
        <v>6</v>
      </c>
      <c r="B10" s="28" t="s">
        <v>22</v>
      </c>
      <c r="C10" s="60">
        <v>187</v>
      </c>
      <c r="D10" s="60">
        <v>78</v>
      </c>
      <c r="E10" s="141">
        <f t="shared" si="2"/>
        <v>145.86</v>
      </c>
      <c r="F10" s="203">
        <f>Меню!L13</f>
        <v>229</v>
      </c>
      <c r="G10" s="204">
        <f>Меню!L94</f>
        <v>122</v>
      </c>
      <c r="H10" s="204">
        <f>Меню!L174</f>
        <v>20</v>
      </c>
      <c r="I10" s="204">
        <f>Меню!L287</f>
        <v>111</v>
      </c>
      <c r="J10" s="204">
        <f>Меню!L393</f>
        <v>203</v>
      </c>
      <c r="K10" s="204">
        <f>Меню!L470</f>
        <v>245</v>
      </c>
      <c r="L10" s="204">
        <f>Меню!L543</f>
        <v>113</v>
      </c>
      <c r="M10" s="203">
        <f>Меню!P643</f>
        <v>164</v>
      </c>
      <c r="N10" s="203">
        <f>Меню!M643</f>
        <v>50</v>
      </c>
      <c r="O10" s="203">
        <f>Меню!L804</f>
        <v>110</v>
      </c>
      <c r="P10" s="203">
        <f>Меню!N938</f>
        <v>197</v>
      </c>
      <c r="Q10" s="203">
        <f>Меню!L985</f>
        <v>245</v>
      </c>
      <c r="R10" s="203">
        <f>Меню!Q1161</f>
        <v>30</v>
      </c>
      <c r="S10" s="203">
        <f>Меню!L1186</f>
        <v>38</v>
      </c>
      <c r="T10" s="203">
        <f>Меню!L1277</f>
        <v>62</v>
      </c>
      <c r="U10" s="203">
        <f>Меню!L1358</f>
        <v>85</v>
      </c>
      <c r="V10" s="203">
        <f>Меню!L1485</f>
        <v>359</v>
      </c>
      <c r="W10" s="203">
        <f>Меню!L1545</f>
        <v>197</v>
      </c>
      <c r="X10" s="203">
        <f t="shared" si="0"/>
        <v>2580</v>
      </c>
      <c r="Y10" s="205">
        <f t="shared" si="3"/>
        <v>143.33333333333334</v>
      </c>
      <c r="Z10" s="543">
        <f t="shared" si="1"/>
        <v>98.26774532656886</v>
      </c>
    </row>
    <row r="11" spans="1:26" s="40" customFormat="1" ht="29.25" customHeight="1">
      <c r="A11" s="542">
        <v>7</v>
      </c>
      <c r="B11" s="29" t="s">
        <v>198</v>
      </c>
      <c r="C11" s="60">
        <v>320</v>
      </c>
      <c r="D11" s="60">
        <v>68</v>
      </c>
      <c r="E11" s="141">
        <f t="shared" si="2"/>
        <v>217.6</v>
      </c>
      <c r="F11" s="203">
        <f>Меню!L14</f>
        <v>165</v>
      </c>
      <c r="G11" s="204">
        <f>Меню!L95</f>
        <v>248</v>
      </c>
      <c r="H11" s="204">
        <f>Меню!L175</f>
        <v>189.4</v>
      </c>
      <c r="I11" s="204">
        <f>Меню!L288</f>
        <v>234.5</v>
      </c>
      <c r="J11" s="204">
        <f>Меню!L394</f>
        <v>304.26666666666665</v>
      </c>
      <c r="K11" s="204">
        <f>Меню!L471</f>
        <v>194</v>
      </c>
      <c r="L11" s="204">
        <f>Меню!L544</f>
        <v>157</v>
      </c>
      <c r="M11" s="203">
        <f>Меню!P644</f>
        <v>254.9</v>
      </c>
      <c r="N11" s="203">
        <f>Меню!M644</f>
        <v>206</v>
      </c>
      <c r="O11" s="203">
        <f>Меню!L805</f>
        <v>273.4</v>
      </c>
      <c r="P11" s="203">
        <f>Меню!N939</f>
        <v>256.33333333333337</v>
      </c>
      <c r="Q11" s="203">
        <f>Меню!L986</f>
        <v>183</v>
      </c>
      <c r="R11" s="203">
        <f>Меню!Q1162</f>
        <v>199.4</v>
      </c>
      <c r="S11" s="203">
        <f>Меню!L1187</f>
        <v>164</v>
      </c>
      <c r="T11" s="203">
        <f>Меню!L1278</f>
        <v>157.875</v>
      </c>
      <c r="U11" s="203">
        <f>Меню!L1359</f>
        <v>244.8</v>
      </c>
      <c r="V11" s="203">
        <f>Меню!L1486</f>
        <v>223.3</v>
      </c>
      <c r="W11" s="203">
        <f>Меню!L1546</f>
        <v>238.5</v>
      </c>
      <c r="X11" s="203">
        <f t="shared" si="0"/>
        <v>3893.6750000000006</v>
      </c>
      <c r="Y11" s="205">
        <f t="shared" si="3"/>
        <v>216.31527777777782</v>
      </c>
      <c r="Z11" s="543">
        <f t="shared" si="1"/>
        <v>99.40959456699348</v>
      </c>
    </row>
    <row r="12" spans="1:26" s="40" customFormat="1" ht="13.5" customHeight="1">
      <c r="A12" s="542">
        <v>8</v>
      </c>
      <c r="B12" s="28" t="s">
        <v>21</v>
      </c>
      <c r="C12" s="60">
        <v>185</v>
      </c>
      <c r="D12" s="60">
        <v>50</v>
      </c>
      <c r="E12" s="141">
        <f t="shared" si="2"/>
        <v>92.5</v>
      </c>
      <c r="F12" s="203">
        <f>Меню!L15</f>
        <v>174</v>
      </c>
      <c r="G12" s="204">
        <f>Меню!L96</f>
        <v>100</v>
      </c>
      <c r="H12" s="204">
        <f>Меню!L176</f>
        <v>100</v>
      </c>
      <c r="I12" s="204">
        <f>Меню!L289</f>
        <v>52</v>
      </c>
      <c r="J12" s="204">
        <f>Меню!L395</f>
        <v>137</v>
      </c>
      <c r="K12" s="204">
        <f>Меню!L472</f>
        <v>130</v>
      </c>
      <c r="L12" s="204">
        <f>Меню!L545</f>
        <v>141</v>
      </c>
      <c r="M12" s="203">
        <f>Меню!P645</f>
        <v>7</v>
      </c>
      <c r="N12" s="203">
        <f>Меню!M645</f>
        <v>112</v>
      </c>
      <c r="O12" s="203">
        <f>Меню!L806</f>
        <v>154</v>
      </c>
      <c r="P12" s="203">
        <f>Меню!N940</f>
        <v>155</v>
      </c>
      <c r="Q12" s="203">
        <f>Меню!L987</f>
        <v>130</v>
      </c>
      <c r="R12" s="203">
        <f>Меню!Q1163</f>
        <v>157</v>
      </c>
      <c r="S12" s="203">
        <f>Меню!L1188</f>
        <v>24</v>
      </c>
      <c r="T12" s="203">
        <f>Меню!L1279</f>
        <v>41</v>
      </c>
      <c r="U12" s="203">
        <f>Меню!L1360</f>
        <v>7</v>
      </c>
      <c r="V12" s="203">
        <f>Меню!L1487</f>
        <v>12</v>
      </c>
      <c r="W12" s="203">
        <f>Меню!L1547</f>
        <v>105</v>
      </c>
      <c r="X12" s="203">
        <f t="shared" si="0"/>
        <v>1738</v>
      </c>
      <c r="Y12" s="205">
        <f t="shared" si="3"/>
        <v>96.55555555555556</v>
      </c>
      <c r="Z12" s="543">
        <f t="shared" si="1"/>
        <v>104.38438438438439</v>
      </c>
    </row>
    <row r="13" spans="1:26" s="40" customFormat="1" ht="13.5" customHeight="1">
      <c r="A13" s="542">
        <v>9</v>
      </c>
      <c r="B13" s="28" t="s">
        <v>181</v>
      </c>
      <c r="C13" s="60">
        <v>20</v>
      </c>
      <c r="D13" s="60">
        <v>40</v>
      </c>
      <c r="E13" s="141">
        <f t="shared" si="2"/>
        <v>8</v>
      </c>
      <c r="F13" s="203">
        <f>Меню!L16</f>
        <v>0</v>
      </c>
      <c r="G13" s="204">
        <f>Меню!L97</f>
        <v>0</v>
      </c>
      <c r="H13" s="204">
        <f>Меню!L177</f>
        <v>25</v>
      </c>
      <c r="I13" s="204">
        <f>Меню!L290</f>
        <v>0</v>
      </c>
      <c r="J13" s="204">
        <f>Меню!L396</f>
        <v>0</v>
      </c>
      <c r="K13" s="204">
        <f>Меню!L473</f>
        <v>25</v>
      </c>
      <c r="L13" s="204">
        <f>Меню!L546</f>
        <v>0</v>
      </c>
      <c r="M13" s="203">
        <f>Меню!P646</f>
        <v>0</v>
      </c>
      <c r="N13" s="203">
        <f>Меню!M646</f>
        <v>20</v>
      </c>
      <c r="O13" s="203">
        <f>Меню!L807</f>
        <v>0</v>
      </c>
      <c r="P13" s="203">
        <f>Меню!N941</f>
        <v>0</v>
      </c>
      <c r="Q13" s="203">
        <f>Меню!L988</f>
        <v>25</v>
      </c>
      <c r="R13" s="203">
        <f>Меню!Q1164</f>
        <v>0</v>
      </c>
      <c r="S13" s="203">
        <f>Меню!L1189</f>
        <v>0</v>
      </c>
      <c r="T13" s="203">
        <f>Меню!L1280</f>
        <v>0</v>
      </c>
      <c r="U13" s="203">
        <f>Меню!L1361</f>
        <v>25</v>
      </c>
      <c r="V13" s="203">
        <f>Меню!L1488</f>
        <v>0</v>
      </c>
      <c r="W13" s="203">
        <f>Меню!L1548</f>
        <v>20</v>
      </c>
      <c r="X13" s="203">
        <f t="shared" si="0"/>
        <v>140</v>
      </c>
      <c r="Y13" s="205">
        <f t="shared" si="3"/>
        <v>7.777777777777778</v>
      </c>
      <c r="Z13" s="543">
        <f t="shared" si="1"/>
        <v>97.22222222222221</v>
      </c>
    </row>
    <row r="14" spans="1:26" s="40" customFormat="1" ht="22.5" customHeight="1">
      <c r="A14" s="542">
        <v>10</v>
      </c>
      <c r="B14" s="29" t="s">
        <v>182</v>
      </c>
      <c r="C14" s="207">
        <v>200</v>
      </c>
      <c r="D14" s="60">
        <v>29</v>
      </c>
      <c r="E14" s="141">
        <f t="shared" si="2"/>
        <v>58</v>
      </c>
      <c r="F14" s="203">
        <f>Меню!L17</f>
        <v>0</v>
      </c>
      <c r="G14" s="204">
        <f>Меню!L98</f>
        <v>200</v>
      </c>
      <c r="H14" s="204">
        <f>Меню!L178</f>
        <v>0</v>
      </c>
      <c r="I14" s="204">
        <f>Меню!L291</f>
        <v>0</v>
      </c>
      <c r="J14" s="204">
        <f>Меню!L397</f>
        <v>200</v>
      </c>
      <c r="K14" s="204">
        <f>Меню!L474</f>
        <v>0</v>
      </c>
      <c r="L14" s="204">
        <f>Меню!L547</f>
        <v>0</v>
      </c>
      <c r="M14" s="203">
        <f>Меню!P647</f>
        <v>200</v>
      </c>
      <c r="N14" s="203">
        <f>Меню!M647</f>
        <v>0</v>
      </c>
      <c r="O14" s="203">
        <f>Меню!L808</f>
        <v>0</v>
      </c>
      <c r="P14" s="203">
        <f>Меню!N942</f>
        <v>200</v>
      </c>
      <c r="Q14" s="203">
        <f>Меню!L989</f>
        <v>0</v>
      </c>
      <c r="R14" s="203">
        <f>Меню!Q1165</f>
        <v>0</v>
      </c>
      <c r="S14" s="203">
        <f>Меню!L1190</f>
        <v>0</v>
      </c>
      <c r="T14" s="203">
        <f>Меню!L1281</f>
        <v>0</v>
      </c>
      <c r="U14" s="203">
        <f>Меню!L1362</f>
        <v>0</v>
      </c>
      <c r="V14" s="203">
        <f>Меню!L1489</f>
        <v>200</v>
      </c>
      <c r="W14" s="203">
        <f>Меню!L1549</f>
        <v>0</v>
      </c>
      <c r="X14" s="203">
        <f t="shared" si="0"/>
        <v>1000</v>
      </c>
      <c r="Y14" s="205">
        <f t="shared" si="3"/>
        <v>55.55555555555556</v>
      </c>
      <c r="Z14" s="543">
        <f t="shared" si="1"/>
        <v>95.78544061302682</v>
      </c>
    </row>
    <row r="15" spans="1:26" s="40" customFormat="1" ht="38.25" customHeight="1">
      <c r="A15" s="542">
        <v>11</v>
      </c>
      <c r="B15" s="29" t="s">
        <v>272</v>
      </c>
      <c r="C15" s="60">
        <v>35</v>
      </c>
      <c r="D15" s="60">
        <v>80</v>
      </c>
      <c r="E15" s="141">
        <f t="shared" si="2"/>
        <v>28</v>
      </c>
      <c r="F15" s="203">
        <f>Меню!L18</f>
        <v>33</v>
      </c>
      <c r="G15" s="204">
        <f>Меню!L99</f>
        <v>10</v>
      </c>
      <c r="H15" s="204">
        <f>Меню!L179</f>
        <v>51.5</v>
      </c>
      <c r="I15" s="204">
        <f>Меню!L292</f>
        <v>28.5</v>
      </c>
      <c r="J15" s="204">
        <f>Меню!L398</f>
        <v>15.6</v>
      </c>
      <c r="K15" s="204">
        <f>Меню!L475</f>
        <v>30</v>
      </c>
      <c r="L15" s="204">
        <f>Меню!L548</f>
        <v>23</v>
      </c>
      <c r="M15" s="203">
        <f>Меню!P648</f>
        <v>15.5</v>
      </c>
      <c r="N15" s="203">
        <f>Меню!M648</f>
        <v>27</v>
      </c>
      <c r="O15" s="203">
        <f>Меню!L809</f>
        <v>35.6</v>
      </c>
      <c r="P15" s="203">
        <f>Меню!N943</f>
        <v>17.1</v>
      </c>
      <c r="Q15" s="203">
        <f>Меню!L990</f>
        <v>40</v>
      </c>
      <c r="R15" s="203">
        <f>Меню!Q1166</f>
        <v>38.5</v>
      </c>
      <c r="S15" s="203">
        <f>Меню!L1191</f>
        <v>30</v>
      </c>
      <c r="T15" s="203">
        <f>Меню!L1282</f>
        <v>46</v>
      </c>
      <c r="U15" s="203">
        <f>Меню!L1363</f>
        <v>31.5</v>
      </c>
      <c r="V15" s="203">
        <f>Меню!L1490</f>
        <v>13.5</v>
      </c>
      <c r="W15" s="203">
        <f>Меню!L1550</f>
        <v>31.8</v>
      </c>
      <c r="X15" s="203">
        <f t="shared" si="0"/>
        <v>518.1</v>
      </c>
      <c r="Y15" s="205">
        <f t="shared" si="3"/>
        <v>28.783333333333335</v>
      </c>
      <c r="Z15" s="543">
        <f t="shared" si="1"/>
        <v>102.79761904761905</v>
      </c>
    </row>
    <row r="16" spans="1:26" s="40" customFormat="1" ht="13.5" customHeight="1">
      <c r="A16" s="542">
        <v>12</v>
      </c>
      <c r="B16" s="28" t="s">
        <v>26</v>
      </c>
      <c r="C16" s="207">
        <v>15</v>
      </c>
      <c r="D16" s="60">
        <v>65</v>
      </c>
      <c r="E16" s="141">
        <f t="shared" si="2"/>
        <v>9.75</v>
      </c>
      <c r="F16" s="203">
        <f>Меню!L19</f>
        <v>30</v>
      </c>
      <c r="G16" s="204">
        <f>Меню!L100</f>
        <v>0</v>
      </c>
      <c r="H16" s="204">
        <f>Меню!L180</f>
        <v>0</v>
      </c>
      <c r="I16" s="204">
        <f>Меню!L293</f>
        <v>0</v>
      </c>
      <c r="J16" s="204">
        <f>Меню!L399</f>
        <v>0</v>
      </c>
      <c r="K16" s="204">
        <f>Меню!L476</f>
        <v>0</v>
      </c>
      <c r="L16" s="204">
        <f>Меню!L549</f>
        <v>30</v>
      </c>
      <c r="M16" s="203">
        <f>Меню!P649</f>
        <v>0</v>
      </c>
      <c r="N16" s="203">
        <f>Меню!M649</f>
        <v>0</v>
      </c>
      <c r="O16" s="203">
        <f>Меню!L810</f>
        <v>40</v>
      </c>
      <c r="P16" s="203">
        <f>Меню!N944</f>
        <v>0</v>
      </c>
      <c r="Q16" s="203">
        <f>Меню!L991</f>
        <v>0</v>
      </c>
      <c r="R16" s="203">
        <f>Меню!Q1167</f>
        <v>30</v>
      </c>
      <c r="S16" s="203" t="str">
        <f>Меню!L1192</f>
        <v>65</v>
      </c>
      <c r="T16" s="203">
        <f>Меню!L1283</f>
        <v>0</v>
      </c>
      <c r="U16" s="203">
        <f>Меню!L1364</f>
        <v>50</v>
      </c>
      <c r="V16" s="203">
        <f>Меню!L1491</f>
        <v>0</v>
      </c>
      <c r="W16" s="203">
        <f>Меню!L1551</f>
        <v>0</v>
      </c>
      <c r="X16" s="203">
        <f t="shared" si="0"/>
        <v>180</v>
      </c>
      <c r="Y16" s="205">
        <f t="shared" si="3"/>
        <v>10</v>
      </c>
      <c r="Z16" s="543">
        <f t="shared" si="1"/>
        <v>102.56410256410257</v>
      </c>
    </row>
    <row r="17" spans="1:26" s="40" customFormat="1" ht="13.5" customHeight="1">
      <c r="A17" s="542">
        <v>13</v>
      </c>
      <c r="B17" s="29" t="s">
        <v>84</v>
      </c>
      <c r="C17" s="60">
        <v>1.2</v>
      </c>
      <c r="D17" s="60">
        <v>95</v>
      </c>
      <c r="E17" s="141">
        <f t="shared" si="2"/>
        <v>1.14</v>
      </c>
      <c r="F17" s="203">
        <f>Меню!L20</f>
        <v>0</v>
      </c>
      <c r="G17" s="204">
        <f>Меню!L101</f>
        <v>0</v>
      </c>
      <c r="H17" s="204">
        <f>Меню!L181</f>
        <v>5</v>
      </c>
      <c r="I17" s="204">
        <f>Меню!L294</f>
        <v>0</v>
      </c>
      <c r="J17" s="204">
        <f>Меню!L400</f>
        <v>0</v>
      </c>
      <c r="K17" s="204">
        <f>Меню!L477</f>
        <v>0</v>
      </c>
      <c r="L17" s="204">
        <f>Меню!L550</f>
        <v>5</v>
      </c>
      <c r="M17" s="203">
        <f>Меню!P650</f>
        <v>0</v>
      </c>
      <c r="N17" s="203">
        <f>Меню!M650</f>
        <v>0</v>
      </c>
      <c r="O17" s="203">
        <f>Меню!L811</f>
        <v>0</v>
      </c>
      <c r="P17" s="203">
        <f>Меню!N945</f>
        <v>0</v>
      </c>
      <c r="Q17" s="203">
        <f>Меню!L992</f>
        <v>5</v>
      </c>
      <c r="R17" s="203">
        <f>Меню!Q1168</f>
        <v>0</v>
      </c>
      <c r="S17" s="203">
        <f>Меню!L1193</f>
        <v>0</v>
      </c>
      <c r="T17" s="203">
        <f>Меню!L1284</f>
        <v>5</v>
      </c>
      <c r="U17" s="203">
        <f>Меню!L1365</f>
        <v>0</v>
      </c>
      <c r="V17" s="203">
        <f>Меню!L1492</f>
        <v>0</v>
      </c>
      <c r="W17" s="203">
        <f>Меню!L1552</f>
        <v>0</v>
      </c>
      <c r="X17" s="203">
        <f t="shared" si="0"/>
        <v>20</v>
      </c>
      <c r="Y17" s="205">
        <f t="shared" si="3"/>
        <v>1.1111111111111112</v>
      </c>
      <c r="Z17" s="543">
        <f t="shared" si="1"/>
        <v>97.46588693957116</v>
      </c>
    </row>
    <row r="18" spans="1:26" s="40" customFormat="1" ht="13.5" customHeight="1">
      <c r="A18" s="542">
        <v>14</v>
      </c>
      <c r="B18" s="28" t="s">
        <v>27</v>
      </c>
      <c r="C18" s="60">
        <v>2</v>
      </c>
      <c r="D18" s="60">
        <v>75</v>
      </c>
      <c r="E18" s="141">
        <f t="shared" si="2"/>
        <v>1.5</v>
      </c>
      <c r="F18" s="349">
        <f>Меню!L21</f>
        <v>2</v>
      </c>
      <c r="G18" s="349">
        <f>Меню!L102</f>
        <v>4</v>
      </c>
      <c r="H18" s="204">
        <f>Меню!L182</f>
        <v>0</v>
      </c>
      <c r="I18" s="204">
        <f>Меню!L295</f>
        <v>2</v>
      </c>
      <c r="J18" s="349">
        <f>Меню!L401</f>
        <v>2</v>
      </c>
      <c r="K18" s="349">
        <f>Меню!L478</f>
        <v>2</v>
      </c>
      <c r="L18" s="349">
        <f>Меню!L551</f>
        <v>0</v>
      </c>
      <c r="M18" s="349">
        <f>Меню!P651</f>
        <v>2</v>
      </c>
      <c r="N18" s="349">
        <f>Меню!M651</f>
        <v>2</v>
      </c>
      <c r="O18" s="349">
        <f>Меню!L812</f>
        <v>0</v>
      </c>
      <c r="P18" s="349">
        <f>Меню!N946</f>
        <v>2</v>
      </c>
      <c r="Q18" s="349">
        <f>Меню!L993</f>
        <v>0</v>
      </c>
      <c r="R18" s="349">
        <f>Меню!Q1169</f>
        <v>2</v>
      </c>
      <c r="S18" s="349">
        <f>Меню!L1194</f>
        <v>2</v>
      </c>
      <c r="T18" s="349">
        <f>Меню!L1285</f>
        <v>0</v>
      </c>
      <c r="U18" s="349">
        <f>Меню!L1366</f>
        <v>2</v>
      </c>
      <c r="V18" s="349">
        <f>Меню!L1493</f>
        <v>2</v>
      </c>
      <c r="W18" s="203">
        <f>Меню!L1553</f>
        <v>2</v>
      </c>
      <c r="X18" s="203">
        <f t="shared" si="0"/>
        <v>28</v>
      </c>
      <c r="Y18" s="205">
        <f t="shared" si="3"/>
        <v>1.5555555555555556</v>
      </c>
      <c r="Z18" s="543">
        <f t="shared" si="1"/>
        <v>103.70370370370371</v>
      </c>
    </row>
    <row r="19" spans="1:26" s="40" customFormat="1" ht="13.5" customHeight="1">
      <c r="A19" s="542">
        <v>15</v>
      </c>
      <c r="B19" s="28" t="s">
        <v>183</v>
      </c>
      <c r="C19" s="60">
        <v>2</v>
      </c>
      <c r="D19" s="60">
        <v>22</v>
      </c>
      <c r="E19" s="141">
        <f t="shared" si="2"/>
        <v>0.44</v>
      </c>
      <c r="F19" s="203">
        <f>Меню!L22</f>
        <v>0</v>
      </c>
      <c r="G19" s="204">
        <f>Меню!L103</f>
        <v>4</v>
      </c>
      <c r="H19" s="204">
        <f>Меню!L183</f>
        <v>0</v>
      </c>
      <c r="I19" s="204">
        <f>Меню!L296</f>
        <v>0</v>
      </c>
      <c r="J19" s="204">
        <f>Меню!L402</f>
        <v>0</v>
      </c>
      <c r="K19" s="204">
        <f>Меню!L479</f>
        <v>0</v>
      </c>
      <c r="L19" s="204">
        <f>Меню!L552</f>
        <v>0</v>
      </c>
      <c r="M19" s="203">
        <f>Меню!P652</f>
        <v>0</v>
      </c>
      <c r="N19" s="203">
        <f>Меню!M652</f>
        <v>0</v>
      </c>
      <c r="O19" s="203">
        <f>Меню!L813</f>
        <v>4</v>
      </c>
      <c r="P19" s="203">
        <f>Меню!N947</f>
        <v>0</v>
      </c>
      <c r="Q19" s="203">
        <f>Меню!L994</f>
        <v>0</v>
      </c>
      <c r="R19" s="203">
        <f>Меню!Q1170</f>
        <v>0</v>
      </c>
      <c r="S19" s="203">
        <f>Меню!L1195</f>
        <v>0</v>
      </c>
      <c r="T19" s="203">
        <f>Меню!L1286</f>
        <v>0</v>
      </c>
      <c r="U19" s="203">
        <f>Меню!L1367</f>
        <v>0</v>
      </c>
      <c r="V19" s="203">
        <f>Меню!L1494</f>
        <v>0</v>
      </c>
      <c r="W19" s="203">
        <f>Меню!L1554</f>
        <v>0</v>
      </c>
      <c r="X19" s="203">
        <f t="shared" si="0"/>
        <v>8</v>
      </c>
      <c r="Y19" s="205">
        <f t="shared" si="3"/>
        <v>0.4444444444444444</v>
      </c>
      <c r="Z19" s="543">
        <f t="shared" si="1"/>
        <v>101.01010101010101</v>
      </c>
    </row>
    <row r="20" spans="1:26" s="40" customFormat="1" ht="13.5" customHeight="1">
      <c r="A20" s="542">
        <v>16</v>
      </c>
      <c r="B20" s="28" t="s">
        <v>184</v>
      </c>
      <c r="C20" s="60">
        <v>78</v>
      </c>
      <c r="D20" s="60">
        <v>85</v>
      </c>
      <c r="E20" s="141">
        <f t="shared" si="2"/>
        <v>66.3</v>
      </c>
      <c r="F20" s="203">
        <f>Меню!L23</f>
        <v>0</v>
      </c>
      <c r="G20" s="204">
        <f>Меню!L104</f>
        <v>82</v>
      </c>
      <c r="H20" s="204">
        <f>Меню!L184</f>
        <v>0</v>
      </c>
      <c r="I20" s="204">
        <f>Меню!L297</f>
        <v>74</v>
      </c>
      <c r="J20" s="204">
        <f>Меню!L403</f>
        <v>79</v>
      </c>
      <c r="K20" s="204">
        <f>Меню!L480</f>
        <v>49</v>
      </c>
      <c r="L20" s="204">
        <f>Меню!L553</f>
        <v>79</v>
      </c>
      <c r="M20" s="203">
        <f>Меню!P653</f>
        <v>116</v>
      </c>
      <c r="N20" s="203">
        <f>Меню!M653</f>
        <v>84</v>
      </c>
      <c r="O20" s="203">
        <f>Меню!L814</f>
        <v>90</v>
      </c>
      <c r="P20" s="203">
        <f>Меню!N948</f>
        <v>90</v>
      </c>
      <c r="Q20" s="203">
        <f>Меню!L995</f>
        <v>16</v>
      </c>
      <c r="R20" s="203">
        <f>Меню!Q1171</f>
        <v>100</v>
      </c>
      <c r="S20" s="203">
        <f>Меню!L1196</f>
        <v>90</v>
      </c>
      <c r="T20" s="203">
        <f>Меню!L1287</f>
        <v>16</v>
      </c>
      <c r="U20" s="203">
        <f>Меню!L1368</f>
        <v>76</v>
      </c>
      <c r="V20" s="203">
        <f>Меню!L1495</f>
        <v>70</v>
      </c>
      <c r="W20" s="203">
        <f>Меню!L1555</f>
        <v>90</v>
      </c>
      <c r="X20" s="203">
        <f t="shared" si="0"/>
        <v>1201</v>
      </c>
      <c r="Y20" s="205">
        <f t="shared" si="3"/>
        <v>66.72222222222223</v>
      </c>
      <c r="Z20" s="543">
        <f t="shared" si="1"/>
        <v>100.6368359309536</v>
      </c>
    </row>
    <row r="21" spans="1:26" s="40" customFormat="1" ht="13.5" customHeight="1">
      <c r="A21" s="542">
        <v>17</v>
      </c>
      <c r="B21" s="28" t="s">
        <v>185</v>
      </c>
      <c r="C21" s="60">
        <v>40</v>
      </c>
      <c r="D21" s="60">
        <v>50</v>
      </c>
      <c r="E21" s="141">
        <f t="shared" si="2"/>
        <v>20</v>
      </c>
      <c r="F21" s="203">
        <f>Меню!L24</f>
        <v>0</v>
      </c>
      <c r="G21" s="204">
        <f>Меню!L105</f>
        <v>0</v>
      </c>
      <c r="H21" s="204">
        <f>Меню!L185</f>
        <v>121</v>
      </c>
      <c r="I21" s="204">
        <f>Меню!L298</f>
        <v>0</v>
      </c>
      <c r="J21" s="204">
        <f>Меню!L404</f>
        <v>0</v>
      </c>
      <c r="K21" s="204">
        <f>Меню!L481</f>
        <v>0</v>
      </c>
      <c r="L21" s="204">
        <f>Меню!L554</f>
        <v>0</v>
      </c>
      <c r="M21" s="203">
        <f>Меню!P654</f>
        <v>0</v>
      </c>
      <c r="N21" s="203">
        <f>Меню!M654</f>
        <v>114</v>
      </c>
      <c r="O21" s="203">
        <f>Меню!L815</f>
        <v>0</v>
      </c>
      <c r="P21" s="203">
        <f>Меню!N949</f>
        <v>0</v>
      </c>
      <c r="Q21" s="203">
        <f>Меню!L996</f>
        <v>0</v>
      </c>
      <c r="R21" s="203">
        <f>Меню!Q1172</f>
        <v>0</v>
      </c>
      <c r="S21" s="203">
        <f>Меню!L1197</f>
        <v>0</v>
      </c>
      <c r="T21" s="203">
        <f>Меню!L1288</f>
        <v>0</v>
      </c>
      <c r="U21" s="203">
        <f>Меню!L1369</f>
        <v>116</v>
      </c>
      <c r="V21" s="203">
        <f>Меню!L1496</f>
        <v>0</v>
      </c>
      <c r="W21" s="203">
        <f>Меню!L1556</f>
        <v>0</v>
      </c>
      <c r="X21" s="203">
        <f t="shared" si="0"/>
        <v>351</v>
      </c>
      <c r="Y21" s="205">
        <f t="shared" si="3"/>
        <v>19.5</v>
      </c>
      <c r="Z21" s="543">
        <f t="shared" si="1"/>
        <v>97.5</v>
      </c>
    </row>
    <row r="22" spans="1:26" s="40" customFormat="1" ht="13.5" customHeight="1">
      <c r="A22" s="542">
        <v>18</v>
      </c>
      <c r="B22" s="28" t="s">
        <v>186</v>
      </c>
      <c r="C22" s="60">
        <v>53</v>
      </c>
      <c r="D22" s="60">
        <v>65</v>
      </c>
      <c r="E22" s="141">
        <f t="shared" si="2"/>
        <v>34.45</v>
      </c>
      <c r="F22" s="203">
        <f>Меню!L25</f>
        <v>14</v>
      </c>
      <c r="G22" s="204">
        <f>Меню!L106</f>
        <v>67</v>
      </c>
      <c r="H22" s="204">
        <f>Меню!L186</f>
        <v>18</v>
      </c>
      <c r="I22" s="204">
        <f>Меню!L299</f>
        <v>28</v>
      </c>
      <c r="J22" s="204">
        <f>Меню!L405</f>
        <v>133</v>
      </c>
      <c r="K22" s="204">
        <f>Меню!L482</f>
        <v>0</v>
      </c>
      <c r="L22" s="204">
        <f>Меню!L555</f>
        <v>0</v>
      </c>
      <c r="M22" s="203">
        <f>Меню!P655</f>
        <v>45</v>
      </c>
      <c r="N22" s="203">
        <f>Меню!M655</f>
        <v>18</v>
      </c>
      <c r="O22" s="203">
        <f>Меню!L816</f>
        <v>0</v>
      </c>
      <c r="P22" s="203">
        <f>Меню!N950</f>
        <v>70</v>
      </c>
      <c r="Q22" s="203">
        <f>Меню!L997</f>
        <v>0</v>
      </c>
      <c r="R22" s="203">
        <f>Меню!Q1173</f>
        <v>0</v>
      </c>
      <c r="S22" s="203">
        <f>Меню!L1198</f>
        <v>67</v>
      </c>
      <c r="T22" s="203">
        <f>Меню!L1289</f>
        <v>0</v>
      </c>
      <c r="U22" s="203">
        <f>Меню!L1370</f>
        <v>28</v>
      </c>
      <c r="V22" s="203">
        <f>Меню!L1497</f>
        <v>0</v>
      </c>
      <c r="W22" s="203">
        <f>Меню!L1557</f>
        <v>149</v>
      </c>
      <c r="X22" s="203">
        <f t="shared" si="0"/>
        <v>637</v>
      </c>
      <c r="Y22" s="205">
        <f t="shared" si="3"/>
        <v>35.388888888888886</v>
      </c>
      <c r="Z22" s="544">
        <f t="shared" si="1"/>
        <v>102.72536687631026</v>
      </c>
    </row>
    <row r="23" spans="1:26" s="40" customFormat="1" ht="13.5" customHeight="1">
      <c r="A23" s="542">
        <v>19</v>
      </c>
      <c r="B23" s="29" t="s">
        <v>187</v>
      </c>
      <c r="C23" s="60">
        <v>77</v>
      </c>
      <c r="D23" s="60">
        <v>45</v>
      </c>
      <c r="E23" s="141">
        <f t="shared" si="2"/>
        <v>34.65</v>
      </c>
      <c r="F23" s="203">
        <f>Меню!L26</f>
        <v>120</v>
      </c>
      <c r="G23" s="204">
        <f>Меню!L107</f>
        <v>0</v>
      </c>
      <c r="H23" s="204">
        <f>Меню!L187</f>
        <v>0</v>
      </c>
      <c r="I23" s="204">
        <f>Меню!L300</f>
        <v>0</v>
      </c>
      <c r="J23" s="204">
        <f>Меню!L406</f>
        <v>0</v>
      </c>
      <c r="K23" s="204">
        <f>Меню!L483</f>
        <v>84</v>
      </c>
      <c r="L23" s="204">
        <f>Меню!L556</f>
        <v>61</v>
      </c>
      <c r="M23" s="203">
        <f>Меню!P656</f>
        <v>0</v>
      </c>
      <c r="N23" s="203">
        <f>Меню!M656</f>
        <v>0</v>
      </c>
      <c r="O23" s="203">
        <f>Меню!L817</f>
        <v>0</v>
      </c>
      <c r="P23" s="203">
        <f>Меню!N951</f>
        <v>0</v>
      </c>
      <c r="Q23" s="203">
        <f>Меню!L998</f>
        <v>125</v>
      </c>
      <c r="R23" s="203">
        <f>Меню!Q1174</f>
        <v>0</v>
      </c>
      <c r="S23" s="203">
        <f>Меню!L1199</f>
        <v>0</v>
      </c>
      <c r="T23" s="203">
        <f>Меню!L1290</f>
        <v>144</v>
      </c>
      <c r="U23" s="203">
        <f>Меню!L1371</f>
        <v>0</v>
      </c>
      <c r="V23" s="203">
        <f>Меню!L1498</f>
        <v>101</v>
      </c>
      <c r="W23" s="203">
        <f>Меню!L1558</f>
        <v>0</v>
      </c>
      <c r="X23" s="203">
        <f t="shared" si="0"/>
        <v>635</v>
      </c>
      <c r="Y23" s="205">
        <f t="shared" si="3"/>
        <v>35.27777777777778</v>
      </c>
      <c r="Z23" s="543">
        <f t="shared" si="1"/>
        <v>101.81176847843516</v>
      </c>
    </row>
    <row r="24" spans="1:26" s="40" customFormat="1" ht="13.5" customHeight="1">
      <c r="A24" s="542">
        <v>20</v>
      </c>
      <c r="B24" s="208" t="s">
        <v>188</v>
      </c>
      <c r="C24" s="206">
        <v>350</v>
      </c>
      <c r="D24" s="60">
        <v>30</v>
      </c>
      <c r="E24" s="351">
        <f t="shared" si="2"/>
        <v>105</v>
      </c>
      <c r="F24" s="203">
        <f>Меню!L27</f>
        <v>219</v>
      </c>
      <c r="G24" s="204">
        <f>Меню!L108</f>
        <v>140</v>
      </c>
      <c r="H24" s="204">
        <f>Меню!L188</f>
        <v>150</v>
      </c>
      <c r="I24" s="204">
        <f>Меню!L301</f>
        <v>75</v>
      </c>
      <c r="J24" s="204">
        <f>Меню!L407</f>
        <v>0</v>
      </c>
      <c r="K24" s="204">
        <f>Меню!L484</f>
        <v>27</v>
      </c>
      <c r="L24" s="204">
        <f>Меню!L557</f>
        <v>262</v>
      </c>
      <c r="M24" s="203">
        <f>Меню!P657</f>
        <v>58</v>
      </c>
      <c r="N24" s="203">
        <f>Меню!M657</f>
        <v>0</v>
      </c>
      <c r="O24" s="203">
        <f>Меню!L818</f>
        <v>132</v>
      </c>
      <c r="P24" s="203">
        <f>Меню!N952</f>
        <v>41</v>
      </c>
      <c r="Q24" s="203">
        <f>Меню!L999</f>
        <v>325</v>
      </c>
      <c r="R24" s="203">
        <f>Меню!Q1175</f>
        <v>182</v>
      </c>
      <c r="S24" s="203">
        <f>Меню!L1200</f>
        <v>32</v>
      </c>
      <c r="T24" s="203">
        <f>Меню!L1291</f>
        <v>160</v>
      </c>
      <c r="U24" s="203">
        <f>Меню!L1372</f>
        <v>38</v>
      </c>
      <c r="V24" s="203">
        <f>Меню!L1499</f>
        <v>58</v>
      </c>
      <c r="W24" s="203">
        <f>Меню!L1559</f>
        <v>41</v>
      </c>
      <c r="X24" s="203">
        <f t="shared" si="0"/>
        <v>1940</v>
      </c>
      <c r="Y24" s="205">
        <f t="shared" si="3"/>
        <v>107.77777777777777</v>
      </c>
      <c r="Z24" s="543">
        <f t="shared" si="1"/>
        <v>102.64550264550265</v>
      </c>
    </row>
    <row r="25" spans="1:26" s="40" customFormat="1" ht="13.5" customHeight="1">
      <c r="A25" s="542">
        <v>21</v>
      </c>
      <c r="B25" s="352" t="s">
        <v>189</v>
      </c>
      <c r="C25" s="206">
        <v>180</v>
      </c>
      <c r="D25" s="60">
        <v>8</v>
      </c>
      <c r="E25" s="141">
        <f t="shared" si="2"/>
        <v>14.4</v>
      </c>
      <c r="F25" s="203">
        <f>Меню!L28</f>
        <v>0</v>
      </c>
      <c r="G25" s="204">
        <f>Меню!L109</f>
        <v>0</v>
      </c>
      <c r="H25" s="204">
        <f>Меню!L189</f>
        <v>0</v>
      </c>
      <c r="I25" s="204">
        <f>Меню!L302</f>
        <v>125</v>
      </c>
      <c r="J25" s="204">
        <f>Меню!L408</f>
        <v>0</v>
      </c>
      <c r="K25" s="204">
        <f>Меню!L485</f>
        <v>0</v>
      </c>
      <c r="L25" s="204">
        <f>Меню!L558</f>
        <v>0</v>
      </c>
      <c r="M25" s="203">
        <f>Меню!P658</f>
        <v>0</v>
      </c>
      <c r="N25" s="203">
        <f>Меню!M658</f>
        <v>0</v>
      </c>
      <c r="O25" s="203">
        <f>Меню!L819</f>
        <v>0</v>
      </c>
      <c r="P25" s="203">
        <f>Меню!N953</f>
        <v>0</v>
      </c>
      <c r="Q25" s="203">
        <f>Меню!L1000</f>
        <v>0</v>
      </c>
      <c r="R25" s="203">
        <f>Меню!Q1176</f>
        <v>0</v>
      </c>
      <c r="S25" s="203">
        <f>Меню!L1201</f>
        <v>0</v>
      </c>
      <c r="T25" s="203">
        <f>Меню!L1292</f>
        <v>125</v>
      </c>
      <c r="U25" s="203">
        <f>Меню!L1373</f>
        <v>0</v>
      </c>
      <c r="V25" s="203">
        <f>Меню!L1500</f>
        <v>0</v>
      </c>
      <c r="W25" s="203">
        <f>Меню!L1560</f>
        <v>0</v>
      </c>
      <c r="X25" s="203">
        <f t="shared" si="0"/>
        <v>250</v>
      </c>
      <c r="Y25" s="205">
        <f t="shared" si="3"/>
        <v>13.88888888888889</v>
      </c>
      <c r="Z25" s="544">
        <f t="shared" si="1"/>
        <v>96.45061728395062</v>
      </c>
    </row>
    <row r="26" spans="1:26" s="40" customFormat="1" ht="13.5" customHeight="1">
      <c r="A26" s="542">
        <v>22</v>
      </c>
      <c r="B26" s="29" t="s">
        <v>190</v>
      </c>
      <c r="C26" s="60">
        <v>60</v>
      </c>
      <c r="D26" s="60">
        <v>40</v>
      </c>
      <c r="E26" s="141">
        <f t="shared" si="2"/>
        <v>24</v>
      </c>
      <c r="F26" s="203">
        <f>Меню!L29</f>
        <v>0</v>
      </c>
      <c r="G26" s="204">
        <f>Меню!L110</f>
        <v>0</v>
      </c>
      <c r="H26" s="204">
        <f>Меню!L190</f>
        <v>137</v>
      </c>
      <c r="I26" s="204">
        <f>Меню!L303</f>
        <v>0</v>
      </c>
      <c r="J26" s="204">
        <f>Меню!L409</f>
        <v>0</v>
      </c>
      <c r="K26" s="204">
        <f>Меню!L486</f>
        <v>0</v>
      </c>
      <c r="L26" s="204">
        <f>Меню!L559</f>
        <v>0</v>
      </c>
      <c r="M26" s="203">
        <f>Меню!P659</f>
        <v>0</v>
      </c>
      <c r="N26" s="203">
        <f>Меню!M659</f>
        <v>0</v>
      </c>
      <c r="O26" s="203">
        <f>Меню!L820</f>
        <v>149</v>
      </c>
      <c r="P26" s="203">
        <f>Меню!N954</f>
        <v>0</v>
      </c>
      <c r="Q26" s="203">
        <f>Меню!L1001</f>
        <v>0</v>
      </c>
      <c r="R26" s="203">
        <f>Меню!Q1177</f>
        <v>0</v>
      </c>
      <c r="S26" s="203">
        <f>Меню!L1202</f>
        <v>0</v>
      </c>
      <c r="T26" s="203">
        <f>Меню!L1293</f>
        <v>145</v>
      </c>
      <c r="U26" s="203">
        <f>Меню!L1374</f>
        <v>0</v>
      </c>
      <c r="V26" s="203">
        <f>Меню!L1501</f>
        <v>0</v>
      </c>
      <c r="W26" s="203">
        <f>Меню!L1561</f>
        <v>0</v>
      </c>
      <c r="X26" s="203">
        <f t="shared" si="0"/>
        <v>431</v>
      </c>
      <c r="Y26" s="205">
        <f t="shared" si="3"/>
        <v>23.944444444444443</v>
      </c>
      <c r="Z26" s="543">
        <f t="shared" si="1"/>
        <v>99.76851851851852</v>
      </c>
    </row>
    <row r="27" spans="1:26" s="40" customFormat="1" ht="13.5" customHeight="1">
      <c r="A27" s="542">
        <v>23</v>
      </c>
      <c r="B27" s="29" t="s">
        <v>191</v>
      </c>
      <c r="C27" s="60">
        <v>10</v>
      </c>
      <c r="D27" s="60">
        <v>90</v>
      </c>
      <c r="E27" s="141">
        <f t="shared" si="2"/>
        <v>9</v>
      </c>
      <c r="F27" s="203">
        <f>Меню!L30</f>
        <v>5</v>
      </c>
      <c r="G27" s="204">
        <f>Меню!L111</f>
        <v>15</v>
      </c>
      <c r="H27" s="204">
        <f>Меню!L191</f>
        <v>17.5</v>
      </c>
      <c r="I27" s="204">
        <f>Меню!L304</f>
        <v>0</v>
      </c>
      <c r="J27" s="204">
        <f>Меню!L410</f>
        <v>25</v>
      </c>
      <c r="K27" s="204">
        <f>Меню!L487</f>
        <v>5</v>
      </c>
      <c r="L27" s="204">
        <f>Меню!L560</f>
        <v>0</v>
      </c>
      <c r="M27" s="203">
        <f>Меню!P660</f>
        <v>5</v>
      </c>
      <c r="N27" s="203">
        <f>Меню!M660</f>
        <v>20</v>
      </c>
      <c r="O27" s="203">
        <f>Меню!L821</f>
        <v>15</v>
      </c>
      <c r="P27" s="203">
        <f>Меню!N955</f>
        <v>5</v>
      </c>
      <c r="Q27" s="203">
        <f>Меню!L1002</f>
        <v>5</v>
      </c>
      <c r="R27" s="203">
        <f>Меню!Q1178</f>
        <v>13</v>
      </c>
      <c r="S27" s="203">
        <f>Меню!L1203</f>
        <v>0</v>
      </c>
      <c r="T27" s="203">
        <f>Меню!L1294</f>
        <v>20</v>
      </c>
      <c r="U27" s="203">
        <f>Меню!L1375</f>
        <v>0</v>
      </c>
      <c r="V27" s="203">
        <f>Меню!L1502</f>
        <v>5</v>
      </c>
      <c r="W27" s="203">
        <f>Меню!L1562</f>
        <v>8</v>
      </c>
      <c r="X27" s="203">
        <f t="shared" si="0"/>
        <v>163.5</v>
      </c>
      <c r="Y27" s="205">
        <f t="shared" si="3"/>
        <v>9.083333333333334</v>
      </c>
      <c r="Z27" s="543">
        <f t="shared" si="1"/>
        <v>100.92592592592592</v>
      </c>
    </row>
    <row r="28" spans="1:26" s="40" customFormat="1" ht="13.5" customHeight="1">
      <c r="A28" s="542">
        <v>24</v>
      </c>
      <c r="B28" s="29" t="s">
        <v>86</v>
      </c>
      <c r="C28" s="60">
        <v>15</v>
      </c>
      <c r="D28" s="60">
        <v>40</v>
      </c>
      <c r="E28" s="141">
        <f t="shared" si="2"/>
        <v>6</v>
      </c>
      <c r="F28" s="203">
        <f>Меню!L31</f>
        <v>0</v>
      </c>
      <c r="G28" s="204">
        <f>Меню!L112</f>
        <v>20</v>
      </c>
      <c r="H28" s="204">
        <f>Меню!L192</f>
        <v>0</v>
      </c>
      <c r="I28" s="204">
        <f>Меню!L305</f>
        <v>15</v>
      </c>
      <c r="J28" s="204">
        <f>Меню!L411</f>
        <v>0</v>
      </c>
      <c r="K28" s="204">
        <f>Меню!L488</f>
        <v>0</v>
      </c>
      <c r="L28" s="204">
        <f>Меню!L561</f>
        <v>0</v>
      </c>
      <c r="M28" s="203">
        <f>Меню!P661</f>
        <v>10</v>
      </c>
      <c r="N28" s="203">
        <f>Меню!M661</f>
        <v>0</v>
      </c>
      <c r="O28" s="203">
        <f>Меню!L822</f>
        <v>0</v>
      </c>
      <c r="P28" s="203">
        <f>Меню!N956</f>
        <v>0</v>
      </c>
      <c r="Q28" s="203">
        <f>Меню!L1003</f>
        <v>0</v>
      </c>
      <c r="R28" s="203">
        <f>Меню!Q1179</f>
        <v>0</v>
      </c>
      <c r="S28" s="203">
        <f>Меню!L1204</f>
        <v>0</v>
      </c>
      <c r="T28" s="203">
        <f>Меню!L1295</f>
        <v>20</v>
      </c>
      <c r="U28" s="203">
        <f>Меню!L1376</f>
        <v>0</v>
      </c>
      <c r="V28" s="203">
        <f>Меню!L1503</f>
        <v>20</v>
      </c>
      <c r="W28" s="203">
        <f>Меню!L1563</f>
        <v>20</v>
      </c>
      <c r="X28" s="203">
        <f t="shared" si="0"/>
        <v>105</v>
      </c>
      <c r="Y28" s="205">
        <f t="shared" si="3"/>
        <v>5.833333333333333</v>
      </c>
      <c r="Z28" s="543">
        <f t="shared" si="1"/>
        <v>97.22222222222221</v>
      </c>
    </row>
    <row r="29" spans="1:26" s="40" customFormat="1" ht="13.5" customHeight="1">
      <c r="A29" s="542">
        <v>25</v>
      </c>
      <c r="B29" s="208" t="s">
        <v>32</v>
      </c>
      <c r="C29" s="60">
        <v>35</v>
      </c>
      <c r="D29" s="60">
        <v>60</v>
      </c>
      <c r="E29" s="141">
        <f t="shared" si="2"/>
        <v>21</v>
      </c>
      <c r="F29" s="203">
        <f>Меню!L32</f>
        <v>22</v>
      </c>
      <c r="G29" s="204">
        <f>Меню!L113</f>
        <v>15.3</v>
      </c>
      <c r="H29" s="204">
        <f>Меню!L193</f>
        <v>40.8</v>
      </c>
      <c r="I29" s="204">
        <f>Меню!L306</f>
        <v>23</v>
      </c>
      <c r="J29" s="204">
        <f>Меню!L412</f>
        <v>15</v>
      </c>
      <c r="K29" s="204">
        <f>Меню!L489</f>
        <v>40.099999999999994</v>
      </c>
      <c r="L29" s="204">
        <f>Меню!L562</f>
        <v>10</v>
      </c>
      <c r="M29" s="203">
        <f>Меню!P662</f>
        <v>26</v>
      </c>
      <c r="N29" s="203">
        <f>Меню!M662</f>
        <v>15</v>
      </c>
      <c r="O29" s="203">
        <f>Меню!L823</f>
        <v>24</v>
      </c>
      <c r="P29" s="203">
        <f>Меню!N957</f>
        <v>12</v>
      </c>
      <c r="Q29" s="203">
        <f>Меню!L1004</f>
        <v>21</v>
      </c>
      <c r="R29" s="203">
        <f>Меню!Q1180</f>
        <v>15</v>
      </c>
      <c r="S29" s="203">
        <f>Меню!L1205</f>
        <v>26</v>
      </c>
      <c r="T29" s="203">
        <f>Меню!L1296</f>
        <v>15</v>
      </c>
      <c r="U29" s="203">
        <f>Меню!L1377</f>
        <v>16.3</v>
      </c>
      <c r="V29" s="203">
        <f>Меню!L1504</f>
        <v>26</v>
      </c>
      <c r="W29" s="203">
        <f>Меню!L1564</f>
        <v>11</v>
      </c>
      <c r="X29" s="203">
        <f t="shared" si="0"/>
        <v>373.5</v>
      </c>
      <c r="Y29" s="205">
        <f t="shared" si="3"/>
        <v>20.75</v>
      </c>
      <c r="Z29" s="543">
        <f t="shared" si="1"/>
        <v>98.80952380952381</v>
      </c>
    </row>
    <row r="30" spans="1:26" s="210" customFormat="1" ht="13.5" customHeight="1">
      <c r="A30" s="542">
        <v>26</v>
      </c>
      <c r="B30" s="28" t="s">
        <v>23</v>
      </c>
      <c r="C30" s="60">
        <v>18</v>
      </c>
      <c r="D30" s="60">
        <v>65</v>
      </c>
      <c r="E30" s="141">
        <f t="shared" si="2"/>
        <v>11.7</v>
      </c>
      <c r="F30" s="203">
        <f>Меню!L33</f>
        <v>11</v>
      </c>
      <c r="G30" s="204">
        <f>Меню!L114</f>
        <v>14</v>
      </c>
      <c r="H30" s="204">
        <f>Меню!L194</f>
        <v>5</v>
      </c>
      <c r="I30" s="204">
        <f>Меню!L307</f>
        <v>13</v>
      </c>
      <c r="J30" s="204">
        <f>Меню!L413</f>
        <v>17</v>
      </c>
      <c r="K30" s="204">
        <f>Меню!L490</f>
        <v>10.5</v>
      </c>
      <c r="L30" s="204">
        <f>Меню!L563</f>
        <v>13</v>
      </c>
      <c r="M30" s="203">
        <f>Меню!P663</f>
        <v>7</v>
      </c>
      <c r="N30" s="203">
        <f>Меню!M663</f>
        <v>13</v>
      </c>
      <c r="O30" s="203">
        <f>Меню!L824</f>
        <v>15</v>
      </c>
      <c r="P30" s="203">
        <f>Меню!N958</f>
        <v>17</v>
      </c>
      <c r="Q30" s="203">
        <f>Меню!L1005</f>
        <v>7.2</v>
      </c>
      <c r="R30" s="203">
        <f>Меню!Q1181</f>
        <v>8</v>
      </c>
      <c r="S30" s="203">
        <f>Меню!L1206</f>
        <v>7</v>
      </c>
      <c r="T30" s="203">
        <f>Меню!L1297</f>
        <v>10</v>
      </c>
      <c r="U30" s="203">
        <f>Меню!L1378</f>
        <v>12</v>
      </c>
      <c r="V30" s="203">
        <f>Меню!L1505</f>
        <v>19</v>
      </c>
      <c r="W30" s="203">
        <f>Меню!L1565</f>
        <v>9</v>
      </c>
      <c r="X30" s="203">
        <f t="shared" si="0"/>
        <v>207.7</v>
      </c>
      <c r="Y30" s="205">
        <f t="shared" si="3"/>
        <v>11.538888888888888</v>
      </c>
      <c r="Z30" s="543">
        <f t="shared" si="1"/>
        <v>98.62298195631527</v>
      </c>
    </row>
    <row r="31" spans="1:26" s="40" customFormat="1" ht="13.5" customHeight="1">
      <c r="A31" s="542">
        <v>27</v>
      </c>
      <c r="B31" s="28" t="s">
        <v>192</v>
      </c>
      <c r="C31" s="60">
        <v>40</v>
      </c>
      <c r="D31" s="60">
        <v>70</v>
      </c>
      <c r="E31" s="141">
        <f t="shared" si="2"/>
        <v>28</v>
      </c>
      <c r="F31" s="203">
        <f>Меню!L34</f>
        <v>60</v>
      </c>
      <c r="G31" s="204">
        <f>Меню!L115</f>
        <v>42</v>
      </c>
      <c r="H31" s="204">
        <f>Меню!L195</f>
        <v>24</v>
      </c>
      <c r="I31" s="204">
        <f>Меню!L308</f>
        <v>129</v>
      </c>
      <c r="J31" s="204">
        <f>Меню!L414</f>
        <v>10</v>
      </c>
      <c r="K31" s="204">
        <f>Меню!L491</f>
        <v>5</v>
      </c>
      <c r="L31" s="204">
        <f>Меню!L564</f>
        <v>40</v>
      </c>
      <c r="M31" s="203">
        <f>Меню!P664</f>
        <v>9.2</v>
      </c>
      <c r="N31" s="203">
        <f>Меню!M664</f>
        <v>8</v>
      </c>
      <c r="O31" s="203">
        <f>Меню!L825</f>
        <v>44</v>
      </c>
      <c r="P31" s="203">
        <f>Меню!N959</f>
        <v>4</v>
      </c>
      <c r="Q31" s="203">
        <f>Меню!L1006</f>
        <v>15.5</v>
      </c>
      <c r="R31" s="203">
        <f>Меню!Q1182</f>
        <v>49</v>
      </c>
      <c r="S31" s="203">
        <f>Меню!L1207</f>
        <v>11</v>
      </c>
      <c r="T31" s="203">
        <f>Меню!L1298</f>
        <v>10</v>
      </c>
      <c r="U31" s="203">
        <f>Меню!L1379</f>
        <v>30</v>
      </c>
      <c r="V31" s="203">
        <f>Меню!L1506</f>
        <v>23</v>
      </c>
      <c r="W31" s="203">
        <f>Меню!L1566</f>
        <v>4</v>
      </c>
      <c r="X31" s="203">
        <f t="shared" si="0"/>
        <v>517.7</v>
      </c>
      <c r="Y31" s="205">
        <f t="shared" si="3"/>
        <v>28.761111111111113</v>
      </c>
      <c r="Z31" s="543">
        <f t="shared" si="1"/>
        <v>102.71825396825398</v>
      </c>
    </row>
    <row r="32" spans="1:26" s="40" customFormat="1" ht="13.5" customHeight="1">
      <c r="A32" s="542">
        <v>28</v>
      </c>
      <c r="B32" s="209" t="s">
        <v>141</v>
      </c>
      <c r="C32" s="60">
        <v>0.3</v>
      </c>
      <c r="D32" s="60">
        <v>18</v>
      </c>
      <c r="E32" s="141">
        <f t="shared" si="2"/>
        <v>0.05399999999999999</v>
      </c>
      <c r="F32" s="203">
        <f>Меню!L35</f>
        <v>0</v>
      </c>
      <c r="G32" s="204">
        <f>Меню!L116</f>
        <v>0</v>
      </c>
      <c r="H32" s="204">
        <f>Меню!L196</f>
        <v>0</v>
      </c>
      <c r="I32" s="204">
        <f>Меню!L309</f>
        <v>0</v>
      </c>
      <c r="J32" s="204">
        <f>Меню!L415</f>
        <v>0</v>
      </c>
      <c r="K32" s="204">
        <f>Меню!L492</f>
        <v>0</v>
      </c>
      <c r="L32" s="204">
        <f>Меню!L565</f>
        <v>0</v>
      </c>
      <c r="M32" s="203">
        <f>Меню!P665</f>
        <v>0</v>
      </c>
      <c r="N32" s="203">
        <f>Меню!M665</f>
        <v>0</v>
      </c>
      <c r="O32" s="203">
        <f>Меню!L826</f>
        <v>0</v>
      </c>
      <c r="P32" s="203">
        <f>Меню!N960</f>
        <v>0</v>
      </c>
      <c r="Q32" s="203">
        <f>Меню!L1007</f>
        <v>1</v>
      </c>
      <c r="R32" s="203">
        <f>Меню!Q1183</f>
        <v>0</v>
      </c>
      <c r="S32" s="203">
        <f>Меню!L1208</f>
        <v>0</v>
      </c>
      <c r="T32" s="203">
        <f>Меню!L1299</f>
        <v>0</v>
      </c>
      <c r="U32" s="203">
        <f>Меню!L1380</f>
        <v>0</v>
      </c>
      <c r="V32" s="203">
        <f>Меню!L1507</f>
        <v>0</v>
      </c>
      <c r="W32" s="203">
        <f>Меню!L1567</f>
        <v>0</v>
      </c>
      <c r="X32" s="203">
        <f t="shared" si="0"/>
        <v>1</v>
      </c>
      <c r="Y32" s="205">
        <f t="shared" si="3"/>
        <v>0.05555555555555555</v>
      </c>
      <c r="Z32" s="544">
        <f t="shared" si="1"/>
        <v>102.880658436214</v>
      </c>
    </row>
    <row r="33" spans="1:26" s="40" customFormat="1" ht="13.5" customHeight="1">
      <c r="A33" s="542">
        <v>29</v>
      </c>
      <c r="B33" s="209" t="s">
        <v>193</v>
      </c>
      <c r="C33" s="60">
        <v>4</v>
      </c>
      <c r="D33" s="60">
        <v>30</v>
      </c>
      <c r="E33" s="141">
        <f t="shared" si="2"/>
        <v>1.2</v>
      </c>
      <c r="F33" s="203">
        <f>Меню!L36</f>
        <v>7</v>
      </c>
      <c r="G33" s="204">
        <f>Меню!L117</f>
        <v>0</v>
      </c>
      <c r="H33" s="204">
        <f>Меню!L197</f>
        <v>0</v>
      </c>
      <c r="I33" s="204">
        <f>Меню!L310</f>
        <v>0</v>
      </c>
      <c r="J33" s="204">
        <f>Меню!L416</f>
        <v>0</v>
      </c>
      <c r="K33" s="204">
        <f>Меню!L493</f>
        <v>0</v>
      </c>
      <c r="L33" s="204">
        <f>Меню!L566</f>
        <v>0</v>
      </c>
      <c r="M33" s="203">
        <f>Меню!P666</f>
        <v>0</v>
      </c>
      <c r="N33" s="203">
        <f>Меню!M666</f>
        <v>0</v>
      </c>
      <c r="O33" s="203">
        <f>Меню!L827</f>
        <v>7</v>
      </c>
      <c r="P33" s="203">
        <f>Меню!N961</f>
        <v>0</v>
      </c>
      <c r="Q33" s="203">
        <f>Меню!L1008</f>
        <v>0</v>
      </c>
      <c r="R33" s="203">
        <f>Меню!Q1184</f>
        <v>0</v>
      </c>
      <c r="S33" s="586">
        <f>Меню!L1209</f>
        <v>7</v>
      </c>
      <c r="T33" s="203">
        <f>Меню!L1300</f>
        <v>0</v>
      </c>
      <c r="U33" s="203">
        <f>Меню!L1381</f>
        <v>0</v>
      </c>
      <c r="V33" s="203">
        <f>Меню!L1508</f>
        <v>0</v>
      </c>
      <c r="W33" s="203">
        <f>Меню!L1568</f>
        <v>0</v>
      </c>
      <c r="X33" s="203">
        <f t="shared" si="0"/>
        <v>21</v>
      </c>
      <c r="Y33" s="205">
        <f t="shared" si="3"/>
        <v>1.1666666666666667</v>
      </c>
      <c r="Z33" s="544">
        <f t="shared" si="1"/>
        <v>97.22222222222223</v>
      </c>
    </row>
    <row r="34" spans="1:26" s="40" customFormat="1" ht="13.5" customHeight="1">
      <c r="A34" s="542">
        <v>30</v>
      </c>
      <c r="B34" s="209" t="s">
        <v>194</v>
      </c>
      <c r="C34" s="60">
        <v>2</v>
      </c>
      <c r="D34" s="60">
        <v>60</v>
      </c>
      <c r="E34" s="141">
        <f t="shared" si="2"/>
        <v>1.2</v>
      </c>
      <c r="F34" s="349">
        <v>1.2</v>
      </c>
      <c r="G34" s="349">
        <v>1.2</v>
      </c>
      <c r="H34" s="349">
        <v>1.2</v>
      </c>
      <c r="I34" s="349">
        <v>1.2</v>
      </c>
      <c r="J34" s="349">
        <v>1.2</v>
      </c>
      <c r="K34" s="349">
        <v>1.2</v>
      </c>
      <c r="L34" s="349">
        <v>1.2</v>
      </c>
      <c r="M34" s="349">
        <v>1.2</v>
      </c>
      <c r="N34" s="349">
        <v>1.2</v>
      </c>
      <c r="O34" s="349">
        <v>1.2</v>
      </c>
      <c r="P34" s="349">
        <v>1.2</v>
      </c>
      <c r="Q34" s="349">
        <v>1.2</v>
      </c>
      <c r="R34" s="349">
        <v>1.2</v>
      </c>
      <c r="S34" s="349">
        <v>1.2</v>
      </c>
      <c r="T34" s="349">
        <v>1.2</v>
      </c>
      <c r="U34" s="349">
        <v>1.2</v>
      </c>
      <c r="V34" s="349">
        <v>1.2</v>
      </c>
      <c r="W34" s="349">
        <v>1.2</v>
      </c>
      <c r="X34" s="203">
        <f t="shared" si="0"/>
        <v>21.599999999999994</v>
      </c>
      <c r="Y34" s="205">
        <f t="shared" si="3"/>
        <v>1.1999999999999997</v>
      </c>
      <c r="Z34" s="544">
        <f t="shared" si="1"/>
        <v>99.99999999999999</v>
      </c>
    </row>
    <row r="35" spans="1:26" s="150" customFormat="1" ht="13.5" customHeight="1" thickBot="1">
      <c r="A35" s="545">
        <v>31</v>
      </c>
      <c r="B35" s="546" t="s">
        <v>195</v>
      </c>
      <c r="C35" s="547">
        <v>5</v>
      </c>
      <c r="D35" s="547">
        <v>60</v>
      </c>
      <c r="E35" s="548">
        <f t="shared" si="2"/>
        <v>3</v>
      </c>
      <c r="F35" s="549">
        <v>3</v>
      </c>
      <c r="G35" s="549">
        <v>3</v>
      </c>
      <c r="H35" s="549">
        <v>3</v>
      </c>
      <c r="I35" s="549">
        <v>3</v>
      </c>
      <c r="J35" s="549">
        <v>3</v>
      </c>
      <c r="K35" s="549">
        <v>3</v>
      </c>
      <c r="L35" s="549">
        <v>3</v>
      </c>
      <c r="M35" s="549">
        <v>3</v>
      </c>
      <c r="N35" s="549">
        <v>3</v>
      </c>
      <c r="O35" s="549">
        <v>3</v>
      </c>
      <c r="P35" s="549">
        <v>3</v>
      </c>
      <c r="Q35" s="549">
        <v>3</v>
      </c>
      <c r="R35" s="549">
        <v>3</v>
      </c>
      <c r="S35" s="549">
        <v>3</v>
      </c>
      <c r="T35" s="549">
        <v>3</v>
      </c>
      <c r="U35" s="549">
        <v>3</v>
      </c>
      <c r="V35" s="549">
        <v>3</v>
      </c>
      <c r="W35" s="549">
        <v>3</v>
      </c>
      <c r="X35" s="550">
        <f t="shared" si="0"/>
        <v>54</v>
      </c>
      <c r="Y35" s="551">
        <f t="shared" si="3"/>
        <v>3</v>
      </c>
      <c r="Z35" s="552">
        <f t="shared" si="1"/>
        <v>100</v>
      </c>
    </row>
    <row r="36" spans="1:26" ht="21" customHeight="1">
      <c r="A36" s="759" t="s">
        <v>197</v>
      </c>
      <c r="B36" s="759"/>
      <c r="C36" s="759"/>
      <c r="D36" s="759"/>
      <c r="E36" s="759"/>
      <c r="F36" s="759"/>
      <c r="G36" s="759"/>
      <c r="H36" s="759"/>
      <c r="I36" s="759"/>
      <c r="J36" s="759"/>
      <c r="K36" s="759"/>
      <c r="L36" s="759"/>
      <c r="M36" s="759"/>
      <c r="N36" s="759"/>
      <c r="O36" s="759"/>
      <c r="P36" s="759"/>
      <c r="Q36" s="759"/>
      <c r="R36" s="759"/>
      <c r="S36" s="759"/>
      <c r="T36" s="759"/>
      <c r="U36" s="759"/>
      <c r="V36" s="759"/>
      <c r="W36" s="759"/>
      <c r="X36" s="759"/>
      <c r="Y36" s="759"/>
      <c r="Z36" s="759"/>
    </row>
    <row r="37" spans="1:26" ht="12.75" customHeight="1">
      <c r="A37" s="758" t="s">
        <v>71</v>
      </c>
      <c r="B37" s="758"/>
      <c r="C37" s="758"/>
      <c r="D37" s="758"/>
      <c r="E37" s="758"/>
      <c r="F37" s="758"/>
      <c r="G37" s="758"/>
      <c r="H37" s="758"/>
      <c r="I37" s="758"/>
      <c r="J37" s="117"/>
      <c r="K37" s="117"/>
      <c r="L37" s="117"/>
      <c r="M37" s="117"/>
      <c r="N37" s="117"/>
      <c r="O37" s="117"/>
      <c r="P37" s="117"/>
      <c r="Q37" s="117"/>
      <c r="R37" s="117"/>
      <c r="S37" s="117"/>
      <c r="T37" s="117"/>
      <c r="U37" s="117"/>
      <c r="V37" s="117"/>
      <c r="W37" s="117"/>
      <c r="X37" s="118"/>
      <c r="Y37" s="118"/>
      <c r="Z37" s="118"/>
    </row>
    <row r="38" spans="11:23" ht="12.75"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120"/>
      <c r="W38" s="120"/>
    </row>
    <row r="39" spans="11:23" ht="12.75"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120"/>
      <c r="W39" s="120"/>
    </row>
    <row r="40" spans="11:23" ht="12.75"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</row>
    <row r="41" spans="11:23" ht="12.75"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</row>
    <row r="42" spans="11:23" ht="12.75">
      <c r="K42" s="120"/>
      <c r="L42" s="120"/>
      <c r="M42" s="120"/>
      <c r="N42" s="120"/>
      <c r="O42" s="120"/>
      <c r="P42" s="120"/>
      <c r="Q42" s="120"/>
      <c r="R42" s="120"/>
      <c r="S42" s="120"/>
      <c r="T42" s="120"/>
      <c r="U42" s="120"/>
      <c r="V42" s="120"/>
      <c r="W42" s="120"/>
    </row>
    <row r="43" spans="11:23" ht="12.75"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</row>
    <row r="44" spans="11:23" ht="12.75">
      <c r="K44" s="120"/>
      <c r="L44" s="120"/>
      <c r="M44" s="120"/>
      <c r="N44" s="120"/>
      <c r="O44" s="120"/>
      <c r="P44" s="120"/>
      <c r="Q44" s="120"/>
      <c r="R44" s="120"/>
      <c r="S44" s="120"/>
      <c r="T44" s="120"/>
      <c r="U44" s="120"/>
      <c r="V44" s="120"/>
      <c r="W44" s="120"/>
    </row>
  </sheetData>
  <sheetProtection password="CF52" sheet="1"/>
  <mergeCells count="13">
    <mergeCell ref="E2:E4"/>
    <mergeCell ref="A37:I37"/>
    <mergeCell ref="A36:Z36"/>
    <mergeCell ref="A1:Z1"/>
    <mergeCell ref="A2:A4"/>
    <mergeCell ref="B2:B4"/>
    <mergeCell ref="C2:C4"/>
    <mergeCell ref="X2:X4"/>
    <mergeCell ref="Y2:Y4"/>
    <mergeCell ref="Z2:Z4"/>
    <mergeCell ref="F2:W2"/>
    <mergeCell ref="F3:W3"/>
    <mergeCell ref="D2:D4"/>
  </mergeCells>
  <conditionalFormatting sqref="Z5:Z6 Z8:Z35">
    <cfRule type="cellIs" priority="1" dxfId="10" operator="lessThan" stopIfTrue="1">
      <formula>95</formula>
    </cfRule>
    <cfRule type="cellIs" priority="2" dxfId="10" operator="greaterThan" stopIfTrue="1">
      <formula>105</formula>
    </cfRule>
  </conditionalFormatting>
  <printOptions horizontalCentered="1"/>
  <pageMargins left="0" right="0" top="0.5905511811023623" bottom="0.5905511811023623" header="0" footer="0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8"/>
  <sheetViews>
    <sheetView zoomScalePageLayoutView="0" workbookViewId="0" topLeftCell="A1">
      <selection activeCell="A14" sqref="A14:IV14"/>
    </sheetView>
  </sheetViews>
  <sheetFormatPr defaultColWidth="9.00390625" defaultRowHeight="12.75"/>
  <cols>
    <col min="1" max="1" width="44.00390625" style="0" customWidth="1"/>
    <col min="2" max="2" width="17.75390625" style="0" customWidth="1"/>
    <col min="3" max="3" width="15.25390625" style="0" customWidth="1"/>
    <col min="4" max="4" width="17.75390625" style="0" customWidth="1"/>
    <col min="5" max="5" width="13.875" style="0" customWidth="1"/>
    <col min="6" max="6" width="17.75390625" style="5" customWidth="1"/>
    <col min="7" max="7" width="15.625" style="5" customWidth="1"/>
    <col min="8" max="8" width="9.125" style="0" customWidth="1"/>
  </cols>
  <sheetData>
    <row r="1" spans="1:7" ht="32.25" customHeight="1" thickBot="1">
      <c r="A1" s="763" t="s">
        <v>159</v>
      </c>
      <c r="B1" s="763"/>
      <c r="C1" s="763"/>
      <c r="D1" s="763"/>
      <c r="E1" s="763"/>
      <c r="F1" s="763"/>
      <c r="G1" s="763"/>
    </row>
    <row r="2" spans="1:7" ht="19.5" customHeight="1">
      <c r="A2" s="764" t="s">
        <v>160</v>
      </c>
      <c r="B2" s="427" t="s">
        <v>73</v>
      </c>
      <c r="C2" s="761" t="s">
        <v>37</v>
      </c>
      <c r="D2" s="427" t="s">
        <v>152</v>
      </c>
      <c r="E2" s="761" t="s">
        <v>37</v>
      </c>
      <c r="F2" s="427" t="s">
        <v>153</v>
      </c>
      <c r="G2" s="766" t="s">
        <v>37</v>
      </c>
    </row>
    <row r="3" spans="1:7" ht="24" customHeight="1">
      <c r="A3" s="765"/>
      <c r="B3" s="428" t="s">
        <v>154</v>
      </c>
      <c r="C3" s="762"/>
      <c r="D3" s="428" t="s">
        <v>155</v>
      </c>
      <c r="E3" s="762"/>
      <c r="F3" s="428" t="s">
        <v>156</v>
      </c>
      <c r="G3" s="767"/>
    </row>
    <row r="4" spans="1:7" s="245" customFormat="1" ht="19.5" customHeight="1">
      <c r="A4" s="765"/>
      <c r="B4" s="429" t="s">
        <v>161</v>
      </c>
      <c r="C4" s="762"/>
      <c r="D4" s="429" t="s">
        <v>162</v>
      </c>
      <c r="E4" s="762"/>
      <c r="F4" s="429" t="s">
        <v>163</v>
      </c>
      <c r="G4" s="767"/>
    </row>
    <row r="5" spans="1:7" s="246" customFormat="1" ht="18" customHeight="1">
      <c r="A5" s="390" t="s">
        <v>0</v>
      </c>
      <c r="B5" s="45">
        <f>Меню!H9</f>
        <v>544.34</v>
      </c>
      <c r="C5" s="45">
        <f aca="true" t="shared" si="0" ref="C5:C10">B5*100/2720</f>
        <v>20.0125</v>
      </c>
      <c r="D5" s="45">
        <f>Меню!H36</f>
        <v>940.4</v>
      </c>
      <c r="E5" s="45">
        <f aca="true" t="shared" si="1" ref="E5:E10">D5*100/2720</f>
        <v>34.5735294117647</v>
      </c>
      <c r="F5" s="45">
        <f>Меню!H83</f>
        <v>1484.74</v>
      </c>
      <c r="G5" s="391">
        <f aca="true" t="shared" si="2" ref="G5:G10">F5*100/2720</f>
        <v>54.586029411764706</v>
      </c>
    </row>
    <row r="6" spans="1:10" s="246" customFormat="1" ht="18" customHeight="1">
      <c r="A6" s="390" t="s">
        <v>11</v>
      </c>
      <c r="B6" s="45">
        <f>Меню!H87</f>
        <v>679</v>
      </c>
      <c r="C6" s="45">
        <f t="shared" si="0"/>
        <v>24.96323529411765</v>
      </c>
      <c r="D6" s="45">
        <f>Меню!H109</f>
        <v>884.68</v>
      </c>
      <c r="E6" s="45">
        <f t="shared" si="1"/>
        <v>32.525</v>
      </c>
      <c r="F6" s="45">
        <f>Меню!H164</f>
        <v>1563.6799999999998</v>
      </c>
      <c r="G6" s="391">
        <f t="shared" si="2"/>
        <v>57.488235294117636</v>
      </c>
      <c r="J6" s="247"/>
    </row>
    <row r="7" spans="1:7" s="246" customFormat="1" ht="18" customHeight="1">
      <c r="A7" s="390" t="s">
        <v>12</v>
      </c>
      <c r="B7" s="45">
        <f>Меню!H168</f>
        <v>665.7333333333333</v>
      </c>
      <c r="C7" s="45">
        <f t="shared" si="0"/>
        <v>24.47549019607843</v>
      </c>
      <c r="D7" s="45">
        <f>Меню!H200</f>
        <v>846.9</v>
      </c>
      <c r="E7" s="45">
        <f t="shared" si="1"/>
        <v>31.136029411764707</v>
      </c>
      <c r="F7" s="45">
        <f>Меню!H254</f>
        <v>1512.6333333333332</v>
      </c>
      <c r="G7" s="391">
        <f t="shared" si="2"/>
        <v>55.61151960784313</v>
      </c>
    </row>
    <row r="8" spans="1:7" s="246" customFormat="1" ht="18" customHeight="1">
      <c r="A8" s="390" t="s">
        <v>13</v>
      </c>
      <c r="B8" s="45">
        <f>Меню!H258</f>
        <v>590.02</v>
      </c>
      <c r="C8" s="45">
        <f t="shared" si="0"/>
        <v>21.691911764705882</v>
      </c>
      <c r="D8" s="45">
        <f>Меню!H278</f>
        <v>884.7666666666667</v>
      </c>
      <c r="E8" s="45">
        <f t="shared" si="1"/>
        <v>32.52818627450981</v>
      </c>
      <c r="F8" s="45">
        <f>Меню!H363</f>
        <v>1474.7866666666666</v>
      </c>
      <c r="G8" s="391">
        <f t="shared" si="2"/>
        <v>54.220098039215685</v>
      </c>
    </row>
    <row r="9" spans="1:7" s="246" customFormat="1" ht="18" customHeight="1">
      <c r="A9" s="390" t="s">
        <v>14</v>
      </c>
      <c r="B9" s="45">
        <f>Меню!H367</f>
        <v>569.54</v>
      </c>
      <c r="C9" s="45">
        <f t="shared" si="0"/>
        <v>20.938970588235293</v>
      </c>
      <c r="D9" s="45">
        <f>Меню!H395</f>
        <v>909.84</v>
      </c>
      <c r="E9" s="45">
        <f t="shared" si="1"/>
        <v>33.45</v>
      </c>
      <c r="F9" s="45">
        <f>Меню!H448</f>
        <v>1479.38</v>
      </c>
      <c r="G9" s="391">
        <f t="shared" si="2"/>
        <v>54.388970588235296</v>
      </c>
    </row>
    <row r="10" spans="1:7" s="248" customFormat="1" ht="18" customHeight="1">
      <c r="A10" s="390" t="s">
        <v>15</v>
      </c>
      <c r="B10" s="45">
        <f>Меню!H452</f>
        <v>621.9399999999999</v>
      </c>
      <c r="C10" s="45">
        <f t="shared" si="0"/>
        <v>22.865441176470586</v>
      </c>
      <c r="D10" s="45">
        <f>Меню!H488</f>
        <v>840.4499999999999</v>
      </c>
      <c r="E10" s="45">
        <f t="shared" si="1"/>
        <v>30.89889705882353</v>
      </c>
      <c r="F10" s="45">
        <f>Меню!H552</f>
        <v>1462.3899999999999</v>
      </c>
      <c r="G10" s="391">
        <f t="shared" si="2"/>
        <v>53.76433823529412</v>
      </c>
    </row>
    <row r="11" spans="1:7" s="246" customFormat="1" ht="18" customHeight="1">
      <c r="A11" s="541" t="s">
        <v>401</v>
      </c>
      <c r="B11" s="238">
        <f aca="true" t="shared" si="3" ref="B11:G11">(B10+B9+B8+B7+B6+B5)/6</f>
        <v>611.7622222222222</v>
      </c>
      <c r="C11" s="238">
        <f t="shared" si="3"/>
        <v>22.49125816993464</v>
      </c>
      <c r="D11" s="238">
        <f t="shared" si="3"/>
        <v>884.506111111111</v>
      </c>
      <c r="E11" s="238">
        <f t="shared" si="3"/>
        <v>32.51860702614379</v>
      </c>
      <c r="F11" s="238">
        <f t="shared" si="3"/>
        <v>1496.2683333333332</v>
      </c>
      <c r="G11" s="392">
        <f t="shared" si="3"/>
        <v>55.00986519607843</v>
      </c>
    </row>
    <row r="12" spans="1:7" s="246" customFormat="1" ht="18" customHeight="1">
      <c r="A12" s="390" t="s">
        <v>16</v>
      </c>
      <c r="B12" s="45">
        <f>Меню!H560</f>
        <v>616.8699999999999</v>
      </c>
      <c r="C12" s="45">
        <f aca="true" t="shared" si="4" ref="C12:C17">B12*100/2720</f>
        <v>22.679044117647052</v>
      </c>
      <c r="D12" s="45">
        <f>Меню!H592</f>
        <v>928.26</v>
      </c>
      <c r="E12" s="45">
        <f aca="true" t="shared" si="5" ref="E12:E17">D12*100/2720</f>
        <v>34.12720588235294</v>
      </c>
      <c r="F12" s="45">
        <f>Меню!H631</f>
        <v>1545.1299999999999</v>
      </c>
      <c r="G12" s="391">
        <f aca="true" t="shared" si="6" ref="G12:G17">F12*100/2720</f>
        <v>56.80625</v>
      </c>
    </row>
    <row r="13" spans="1:7" s="246" customFormat="1" ht="18" customHeight="1">
      <c r="A13" s="390" t="s">
        <v>17</v>
      </c>
      <c r="B13" s="45">
        <f>Меню!H635</f>
        <v>634.22</v>
      </c>
      <c r="C13" s="45">
        <f t="shared" si="4"/>
        <v>23.316911764705882</v>
      </c>
      <c r="D13" s="45">
        <f>Меню!H679</f>
        <v>854.7138461538461</v>
      </c>
      <c r="E13" s="45">
        <f t="shared" si="5"/>
        <v>31.423303167420812</v>
      </c>
      <c r="F13" s="45">
        <f>Меню!H744</f>
        <v>1488.9338461538462</v>
      </c>
      <c r="G13" s="391">
        <f t="shared" si="6"/>
        <v>54.7402149321267</v>
      </c>
    </row>
    <row r="14" spans="1:7" s="246" customFormat="1" ht="18" customHeight="1">
      <c r="A14" s="390" t="s">
        <v>18</v>
      </c>
      <c r="B14" s="45">
        <f>Меню!H748</f>
        <v>590.56</v>
      </c>
      <c r="C14" s="45">
        <f t="shared" si="4"/>
        <v>21.71176470588235</v>
      </c>
      <c r="D14" s="45">
        <f>Меню!H776</f>
        <v>877.5799999999999</v>
      </c>
      <c r="E14" s="45">
        <f t="shared" si="5"/>
        <v>32.263970588235296</v>
      </c>
      <c r="F14" s="45">
        <f>Меню!H834</f>
        <v>1468.1399999999999</v>
      </c>
      <c r="G14" s="391">
        <f t="shared" si="6"/>
        <v>53.97573529411765</v>
      </c>
    </row>
    <row r="15" spans="1:7" s="246" customFormat="1" ht="18" customHeight="1">
      <c r="A15" s="390" t="s">
        <v>19</v>
      </c>
      <c r="B15" s="45">
        <f>Меню!H838</f>
        <v>620.7</v>
      </c>
      <c r="C15" s="45">
        <f t="shared" si="4"/>
        <v>22.819852941176475</v>
      </c>
      <c r="D15" s="45">
        <f>Меню!H871</f>
        <v>831.5400000000001</v>
      </c>
      <c r="E15" s="45">
        <f t="shared" si="5"/>
        <v>30.57132352941177</v>
      </c>
      <c r="F15" s="45">
        <f>Меню!H930</f>
        <v>1452.2400000000002</v>
      </c>
      <c r="G15" s="391">
        <f t="shared" si="6"/>
        <v>53.39117647058825</v>
      </c>
    </row>
    <row r="16" spans="1:7" s="246" customFormat="1" ht="18" customHeight="1">
      <c r="A16" s="390" t="s">
        <v>131</v>
      </c>
      <c r="B16" s="45">
        <f>Меню!H934</f>
        <v>564.28</v>
      </c>
      <c r="C16" s="45">
        <f t="shared" si="4"/>
        <v>20.745588235294118</v>
      </c>
      <c r="D16" s="45">
        <f>Меню!H967</f>
        <v>902.3</v>
      </c>
      <c r="E16" s="45">
        <f t="shared" si="5"/>
        <v>33.17279411764706</v>
      </c>
      <c r="F16" s="45">
        <f>Меню!H1035</f>
        <v>1466.58</v>
      </c>
      <c r="G16" s="391">
        <f t="shared" si="6"/>
        <v>53.91838235294118</v>
      </c>
    </row>
    <row r="17" spans="1:7" s="246" customFormat="1" ht="18" customHeight="1">
      <c r="A17" s="390" t="s">
        <v>124</v>
      </c>
      <c r="B17" s="45">
        <f>Меню!H1039</f>
        <v>622.42</v>
      </c>
      <c r="C17" s="45">
        <f t="shared" si="4"/>
        <v>22.883088235294114</v>
      </c>
      <c r="D17" s="45">
        <f>Меню!H1074</f>
        <v>902.4977777777779</v>
      </c>
      <c r="E17" s="45">
        <f t="shared" si="5"/>
        <v>33.180065359477126</v>
      </c>
      <c r="F17" s="45">
        <f>Меню!H1139</f>
        <v>1524.9177777777777</v>
      </c>
      <c r="G17" s="391">
        <f t="shared" si="6"/>
        <v>56.063153594771244</v>
      </c>
    </row>
    <row r="18" spans="1:7" s="246" customFormat="1" ht="18" customHeight="1">
      <c r="A18" s="541" t="s">
        <v>402</v>
      </c>
      <c r="B18" s="238">
        <f aca="true" t="shared" si="7" ref="B18:G18">(B17+B16+B15+B14+B13+B12)/6</f>
        <v>608.1750000000001</v>
      </c>
      <c r="C18" s="238">
        <f t="shared" si="7"/>
        <v>22.359375</v>
      </c>
      <c r="D18" s="238">
        <f t="shared" si="7"/>
        <v>882.8152706552706</v>
      </c>
      <c r="E18" s="238">
        <f t="shared" si="7"/>
        <v>32.456443774090836</v>
      </c>
      <c r="F18" s="238">
        <f t="shared" si="7"/>
        <v>1490.9902706552705</v>
      </c>
      <c r="G18" s="392">
        <f t="shared" si="7"/>
        <v>54.815818774090836</v>
      </c>
    </row>
    <row r="19" spans="1:7" s="246" customFormat="1" ht="18" customHeight="1">
      <c r="A19" s="390" t="s">
        <v>125</v>
      </c>
      <c r="B19" s="45">
        <f>Меню!H1147</f>
        <v>597.1899999999999</v>
      </c>
      <c r="C19" s="45">
        <f aca="true" t="shared" si="8" ref="C19:C24">B19*100/2720</f>
        <v>21.95551470588235</v>
      </c>
      <c r="D19" s="45">
        <f>Меню!H1175</f>
        <v>904.6252747252747</v>
      </c>
      <c r="E19" s="45">
        <f aca="true" t="shared" si="9" ref="E19:E24">D19*100/2720</f>
        <v>33.25828215901745</v>
      </c>
      <c r="F19" s="45">
        <f>Меню!H1232</f>
        <v>1501.8152747252748</v>
      </c>
      <c r="G19" s="391">
        <f aca="true" t="shared" si="10" ref="G19:G24">F19*100/2720</f>
        <v>55.213796864899805</v>
      </c>
    </row>
    <row r="20" spans="1:7" s="246" customFormat="1" ht="18" customHeight="1">
      <c r="A20" s="390" t="s">
        <v>126</v>
      </c>
      <c r="B20" s="45">
        <f>Меню!H1236</f>
        <v>652.9199999999998</v>
      </c>
      <c r="C20" s="45">
        <f t="shared" si="8"/>
        <v>24.00441176470588</v>
      </c>
      <c r="D20" s="45">
        <f>Меню!H1256</f>
        <v>894.0799999999999</v>
      </c>
      <c r="E20" s="45">
        <f t="shared" si="9"/>
        <v>32.870588235294115</v>
      </c>
      <c r="F20" s="45">
        <f>Меню!H1302</f>
        <v>1546.9999999999998</v>
      </c>
      <c r="G20" s="391">
        <f t="shared" si="10"/>
        <v>56.874999999999986</v>
      </c>
    </row>
    <row r="21" spans="1:7" s="246" customFormat="1" ht="18" customHeight="1">
      <c r="A21" s="390" t="s">
        <v>127</v>
      </c>
      <c r="B21" s="45">
        <f>Меню!H1306</f>
        <v>641.2</v>
      </c>
      <c r="C21" s="45">
        <f t="shared" si="8"/>
        <v>23.57352941176471</v>
      </c>
      <c r="D21" s="45">
        <f>Меню!H1339</f>
        <v>909.66</v>
      </c>
      <c r="E21" s="45">
        <f t="shared" si="9"/>
        <v>33.44338235294118</v>
      </c>
      <c r="F21" s="45">
        <f>Меню!H1384</f>
        <v>1550.8600000000001</v>
      </c>
      <c r="G21" s="391">
        <f t="shared" si="10"/>
        <v>57.01691176470588</v>
      </c>
    </row>
    <row r="22" spans="1:7" s="246" customFormat="1" ht="18" customHeight="1">
      <c r="A22" s="390" t="s">
        <v>128</v>
      </c>
      <c r="B22" s="45">
        <f>Меню!H1388</f>
        <v>654.7533333333332</v>
      </c>
      <c r="C22" s="45">
        <f t="shared" si="8"/>
        <v>24.07181372549019</v>
      </c>
      <c r="D22" s="45">
        <f>Меню!H1420</f>
        <v>828.4866666666668</v>
      </c>
      <c r="E22" s="45">
        <f t="shared" si="9"/>
        <v>30.45906862745099</v>
      </c>
      <c r="F22" s="45">
        <f>Меню!H1497</f>
        <v>1483.24</v>
      </c>
      <c r="G22" s="391">
        <f t="shared" si="10"/>
        <v>54.53088235294118</v>
      </c>
    </row>
    <row r="23" spans="1:7" s="246" customFormat="1" ht="18" customHeight="1">
      <c r="A23" s="390" t="s">
        <v>129</v>
      </c>
      <c r="B23" s="45">
        <f>Меню!H1501</f>
        <v>640.2199999999999</v>
      </c>
      <c r="C23" s="45">
        <f t="shared" si="8"/>
        <v>23.537499999999998</v>
      </c>
      <c r="D23" s="45">
        <f>Меню!H1533</f>
        <v>838.2399999999999</v>
      </c>
      <c r="E23" s="45">
        <f t="shared" si="9"/>
        <v>30.817647058823525</v>
      </c>
      <c r="F23" s="45">
        <f>Меню!H1605</f>
        <v>1478.4599999999998</v>
      </c>
      <c r="G23" s="391">
        <f t="shared" si="10"/>
        <v>54.35514705882352</v>
      </c>
    </row>
    <row r="24" spans="1:7" s="246" customFormat="1" ht="18" customHeight="1">
      <c r="A24" s="390" t="s">
        <v>130</v>
      </c>
      <c r="B24" s="45">
        <f>Меню!H1609</f>
        <v>674.4199999999998</v>
      </c>
      <c r="C24" s="45">
        <f t="shared" si="8"/>
        <v>24.794852941176465</v>
      </c>
      <c r="D24" s="45">
        <f>Меню!H1633</f>
        <v>881.78</v>
      </c>
      <c r="E24" s="45">
        <f t="shared" si="9"/>
        <v>32.41838235294118</v>
      </c>
      <c r="F24" s="45">
        <f>Меню!H1682</f>
        <v>1556.1999999999998</v>
      </c>
      <c r="G24" s="391">
        <f t="shared" si="10"/>
        <v>57.21323529411764</v>
      </c>
    </row>
    <row r="25" spans="1:7" s="246" customFormat="1" ht="18" customHeight="1" thickBot="1">
      <c r="A25" s="393" t="s">
        <v>403</v>
      </c>
      <c r="B25" s="394">
        <f aca="true" t="shared" si="11" ref="B25:G25">(B24+B23+B22+B21+B20+B19)/6</f>
        <v>643.4505555555555</v>
      </c>
      <c r="C25" s="394">
        <f t="shared" si="11"/>
        <v>23.656270424836595</v>
      </c>
      <c r="D25" s="394">
        <f t="shared" si="11"/>
        <v>876.1453235653235</v>
      </c>
      <c r="E25" s="394">
        <f t="shared" si="11"/>
        <v>32.21122513107807</v>
      </c>
      <c r="F25" s="394">
        <f t="shared" si="11"/>
        <v>1519.5958791208793</v>
      </c>
      <c r="G25" s="467">
        <f t="shared" si="11"/>
        <v>55.867495555914665</v>
      </c>
    </row>
    <row r="26" spans="1:7" s="246" customFormat="1" ht="5.25" customHeight="1">
      <c r="A26" s="463"/>
      <c r="B26" s="195"/>
      <c r="C26" s="195"/>
      <c r="D26" s="195"/>
      <c r="E26" s="195"/>
      <c r="F26" s="195"/>
      <c r="G26" s="195"/>
    </row>
    <row r="27" spans="1:7" ht="12" customHeight="1">
      <c r="A27" s="760" t="s">
        <v>157</v>
      </c>
      <c r="B27" s="760"/>
      <c r="C27" s="760"/>
      <c r="D27" s="760"/>
      <c r="E27" s="760"/>
      <c r="F27" s="760"/>
      <c r="G27" s="760"/>
    </row>
    <row r="28" spans="1:7" ht="12" customHeight="1">
      <c r="A28" s="760" t="s">
        <v>158</v>
      </c>
      <c r="B28" s="760"/>
      <c r="C28" s="760"/>
      <c r="D28" s="760"/>
      <c r="E28" s="760"/>
      <c r="F28" s="760"/>
      <c r="G28" s="760"/>
    </row>
  </sheetData>
  <sheetProtection password="CF52" sheet="1"/>
  <mergeCells count="7">
    <mergeCell ref="A27:G27"/>
    <mergeCell ref="A28:G28"/>
    <mergeCell ref="C2:C4"/>
    <mergeCell ref="A1:G1"/>
    <mergeCell ref="A2:A4"/>
    <mergeCell ref="E2:E4"/>
    <mergeCell ref="G2:G4"/>
  </mergeCells>
  <conditionalFormatting sqref="B5:B25">
    <cfRule type="cellIs" priority="3" dxfId="10" operator="lessThan" stopIfTrue="1">
      <formula>544</formula>
    </cfRule>
    <cfRule type="cellIs" priority="4" dxfId="10" operator="greaterThan" stopIfTrue="1">
      <formula>680</formula>
    </cfRule>
  </conditionalFormatting>
  <conditionalFormatting sqref="D5:D25">
    <cfRule type="cellIs" priority="1" dxfId="10" operator="lessThan" stopIfTrue="1">
      <formula>816</formula>
    </cfRule>
    <cfRule type="cellIs" priority="2" dxfId="10" operator="greaterThan" stopIfTrue="1">
      <formula>952</formula>
    </cfRule>
  </conditionalFormatting>
  <printOptions horizontalCentered="1"/>
  <pageMargins left="0" right="0" top="0.5905511811023623" bottom="0.5905511811023623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2"/>
  <sheetViews>
    <sheetView zoomScalePageLayoutView="0" workbookViewId="0" topLeftCell="A1">
      <selection activeCell="A1" sqref="A1:C12"/>
    </sheetView>
  </sheetViews>
  <sheetFormatPr defaultColWidth="9.00390625" defaultRowHeight="12.75"/>
  <cols>
    <col min="1" max="1" width="56.375" style="34" customWidth="1"/>
    <col min="2" max="3" width="35.75390625" style="34" customWidth="1"/>
    <col min="4" max="16384" width="9.125" style="34" customWidth="1"/>
  </cols>
  <sheetData>
    <row r="1" spans="1:3" ht="32.25" customHeight="1" thickBot="1">
      <c r="A1" s="768" t="s">
        <v>164</v>
      </c>
      <c r="B1" s="768"/>
      <c r="C1" s="768"/>
    </row>
    <row r="2" spans="1:3" ht="19.5" customHeight="1">
      <c r="A2" s="771" t="s">
        <v>98</v>
      </c>
      <c r="B2" s="769" t="s">
        <v>107</v>
      </c>
      <c r="C2" s="770"/>
    </row>
    <row r="3" spans="1:3" ht="19.5" customHeight="1">
      <c r="A3" s="772"/>
      <c r="B3" s="128" t="s">
        <v>172</v>
      </c>
      <c r="C3" s="174" t="s">
        <v>173</v>
      </c>
    </row>
    <row r="4" spans="1:3" ht="84" customHeight="1">
      <c r="A4" s="123" t="s">
        <v>271</v>
      </c>
      <c r="B4" s="249" t="s">
        <v>100</v>
      </c>
      <c r="C4" s="250" t="s">
        <v>102</v>
      </c>
    </row>
    <row r="5" spans="1:3" ht="30" customHeight="1">
      <c r="A5" s="123" t="s">
        <v>165</v>
      </c>
      <c r="B5" s="249" t="s">
        <v>101</v>
      </c>
      <c r="C5" s="250" t="s">
        <v>103</v>
      </c>
    </row>
    <row r="6" spans="1:3" ht="30" customHeight="1">
      <c r="A6" s="124" t="s">
        <v>166</v>
      </c>
      <c r="B6" s="249" t="s">
        <v>102</v>
      </c>
      <c r="C6" s="250" t="s">
        <v>104</v>
      </c>
    </row>
    <row r="7" spans="1:3" ht="45" customHeight="1">
      <c r="A7" s="123" t="s">
        <v>167</v>
      </c>
      <c r="B7" s="249" t="s">
        <v>168</v>
      </c>
      <c r="C7" s="250" t="s">
        <v>105</v>
      </c>
    </row>
    <row r="8" spans="1:3" ht="30" customHeight="1">
      <c r="A8" s="124" t="s">
        <v>99</v>
      </c>
      <c r="B8" s="249" t="s">
        <v>100</v>
      </c>
      <c r="C8" s="250" t="s">
        <v>106</v>
      </c>
    </row>
    <row r="9" spans="1:3" ht="54" customHeight="1">
      <c r="A9" s="123" t="s">
        <v>169</v>
      </c>
      <c r="B9" s="249" t="s">
        <v>170</v>
      </c>
      <c r="C9" s="250" t="s">
        <v>170</v>
      </c>
    </row>
    <row r="10" spans="1:3" ht="30" customHeight="1" thickBot="1">
      <c r="A10" s="125" t="s">
        <v>109</v>
      </c>
      <c r="B10" s="251">
        <v>100</v>
      </c>
      <c r="C10" s="252">
        <v>100</v>
      </c>
    </row>
    <row r="12" spans="1:3" ht="42" customHeight="1">
      <c r="A12" s="773" t="s">
        <v>171</v>
      </c>
      <c r="B12" s="773"/>
      <c r="C12" s="773"/>
    </row>
  </sheetData>
  <sheetProtection password="CF52" sheet="1"/>
  <mergeCells count="4">
    <mergeCell ref="A1:C1"/>
    <mergeCell ref="B2:C2"/>
    <mergeCell ref="A2:A3"/>
    <mergeCell ref="A12:C12"/>
  </mergeCells>
  <printOptions horizontalCentered="1"/>
  <pageMargins left="0.5905511811023623" right="0.5905511811023623" top="0.5905511811023623" bottom="0.5905511811023623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J17" sqref="J17"/>
    </sheetView>
  </sheetViews>
  <sheetFormatPr defaultColWidth="9.00390625" defaultRowHeight="12.75"/>
  <cols>
    <col min="1" max="1" width="50.125" style="5" customWidth="1"/>
    <col min="2" max="3" width="39.75390625" style="5" customWidth="1"/>
    <col min="4" max="4" width="13.125" style="5" customWidth="1"/>
    <col min="5" max="16384" width="9.125" style="5" customWidth="1"/>
  </cols>
  <sheetData>
    <row r="1" spans="1:4" ht="19.5" customHeight="1" thickBot="1">
      <c r="A1" s="774" t="s">
        <v>177</v>
      </c>
      <c r="B1" s="774"/>
      <c r="C1" s="774"/>
      <c r="D1" s="253"/>
    </row>
    <row r="2" spans="1:4" ht="31.5" customHeight="1">
      <c r="A2" s="775" t="s">
        <v>174</v>
      </c>
      <c r="B2" s="254" t="s">
        <v>175</v>
      </c>
      <c r="C2" s="255" t="s">
        <v>176</v>
      </c>
      <c r="D2" s="256"/>
    </row>
    <row r="3" spans="1:4" ht="24" customHeight="1">
      <c r="A3" s="776"/>
      <c r="B3" s="257" t="s">
        <v>178</v>
      </c>
      <c r="C3" s="258" t="s">
        <v>179</v>
      </c>
      <c r="D3" s="259"/>
    </row>
    <row r="4" spans="1:4" ht="19.5" customHeight="1">
      <c r="A4" s="260" t="s">
        <v>0</v>
      </c>
      <c r="B4" s="353">
        <f>Меню!D9</f>
        <v>655</v>
      </c>
      <c r="C4" s="354">
        <f>Меню!D36</f>
        <v>870</v>
      </c>
      <c r="D4" s="261"/>
    </row>
    <row r="5" spans="1:4" ht="19.5" customHeight="1">
      <c r="A5" s="260" t="s">
        <v>11</v>
      </c>
      <c r="B5" s="353">
        <f>Меню!D87</f>
        <v>625</v>
      </c>
      <c r="C5" s="354">
        <f>Меню!D109</f>
        <v>860</v>
      </c>
      <c r="D5" s="261"/>
    </row>
    <row r="6" spans="1:4" ht="19.5" customHeight="1">
      <c r="A6" s="260" t="s">
        <v>12</v>
      </c>
      <c r="B6" s="353">
        <f>Меню!D168</f>
        <v>560</v>
      </c>
      <c r="C6" s="354">
        <f>Меню!D200</f>
        <v>865</v>
      </c>
      <c r="D6" s="261"/>
    </row>
    <row r="7" spans="1:4" ht="19.5" customHeight="1">
      <c r="A7" s="260" t="s">
        <v>12</v>
      </c>
      <c r="B7" s="353">
        <f>Меню!D168</f>
        <v>560</v>
      </c>
      <c r="C7" s="354">
        <f>Меню!D278</f>
        <v>850</v>
      </c>
      <c r="D7" s="261"/>
    </row>
    <row r="8" spans="1:4" ht="19.5" customHeight="1">
      <c r="A8" s="260" t="s">
        <v>14</v>
      </c>
      <c r="B8" s="353">
        <f>Меню!D367</f>
        <v>607</v>
      </c>
      <c r="C8" s="354">
        <f>Меню!D395</f>
        <v>845</v>
      </c>
      <c r="D8" s="261"/>
    </row>
    <row r="9" spans="1:4" ht="19.5" customHeight="1">
      <c r="A9" s="260" t="s">
        <v>15</v>
      </c>
      <c r="B9" s="353">
        <f>Меню!D452</f>
        <v>680</v>
      </c>
      <c r="C9" s="354">
        <f>Меню!D488</f>
        <v>845</v>
      </c>
      <c r="D9" s="261"/>
    </row>
    <row r="10" spans="1:4" ht="19.5" customHeight="1">
      <c r="A10" s="260" t="s">
        <v>16</v>
      </c>
      <c r="B10" s="353">
        <f>Меню!D560</f>
        <v>605</v>
      </c>
      <c r="C10" s="354">
        <f>Меню!D592</f>
        <v>850</v>
      </c>
      <c r="D10" s="261"/>
    </row>
    <row r="11" spans="1:4" ht="19.5" customHeight="1">
      <c r="A11" s="260" t="s">
        <v>17</v>
      </c>
      <c r="B11" s="353">
        <f>Меню!D635</f>
        <v>552</v>
      </c>
      <c r="C11" s="354">
        <f>Меню!D679</f>
        <v>850</v>
      </c>
      <c r="D11" s="261"/>
    </row>
    <row r="12" spans="1:4" ht="19.5" customHeight="1">
      <c r="A12" s="260" t="s">
        <v>18</v>
      </c>
      <c r="B12" s="353">
        <f>Меню!D748</f>
        <v>600</v>
      </c>
      <c r="C12" s="354">
        <f>Меню!D776</f>
        <v>865</v>
      </c>
      <c r="D12" s="261"/>
    </row>
    <row r="13" spans="1:4" ht="19.5" customHeight="1">
      <c r="A13" s="260" t="s">
        <v>19</v>
      </c>
      <c r="B13" s="353">
        <f>Меню!D838</f>
        <v>590</v>
      </c>
      <c r="C13" s="354">
        <f>Меню!D871</f>
        <v>860</v>
      </c>
      <c r="D13" s="261"/>
    </row>
    <row r="14" spans="1:4" ht="19.5" customHeight="1">
      <c r="A14" s="260" t="s">
        <v>131</v>
      </c>
      <c r="B14" s="353">
        <f>Меню!D934</f>
        <v>550</v>
      </c>
      <c r="C14" s="354">
        <f>Меню!D967</f>
        <v>845</v>
      </c>
      <c r="D14" s="261"/>
    </row>
    <row r="15" spans="1:4" ht="19.5" customHeight="1">
      <c r="A15" s="260" t="s">
        <v>124</v>
      </c>
      <c r="B15" s="353">
        <f>Меню!D1039</f>
        <v>595</v>
      </c>
      <c r="C15" s="354">
        <f>Меню!D1074</f>
        <v>865</v>
      </c>
      <c r="D15" s="261"/>
    </row>
    <row r="16" spans="1:4" ht="19.5" customHeight="1">
      <c r="A16" s="260" t="s">
        <v>125</v>
      </c>
      <c r="B16" s="353">
        <f>Меню!D1147</f>
        <v>642</v>
      </c>
      <c r="C16" s="354">
        <f>Меню!D1175</f>
        <v>875</v>
      </c>
      <c r="D16" s="261"/>
    </row>
    <row r="17" spans="1:4" ht="19.5" customHeight="1">
      <c r="A17" s="260" t="s">
        <v>126</v>
      </c>
      <c r="B17" s="353">
        <f>Меню!D1236</f>
        <v>550</v>
      </c>
      <c r="C17" s="354">
        <f>Меню!D1256</f>
        <v>890</v>
      </c>
      <c r="D17" s="261"/>
    </row>
    <row r="18" spans="1:4" ht="19.5" customHeight="1">
      <c r="A18" s="260" t="s">
        <v>127</v>
      </c>
      <c r="B18" s="353">
        <f>Меню!D1306</f>
        <v>585</v>
      </c>
      <c r="C18" s="354">
        <f>Меню!D1339</f>
        <v>930</v>
      </c>
      <c r="D18" s="261"/>
    </row>
    <row r="19" spans="1:4" ht="19.5" customHeight="1">
      <c r="A19" s="260" t="s">
        <v>128</v>
      </c>
      <c r="B19" s="353">
        <f>Меню!D1388</f>
        <v>557</v>
      </c>
      <c r="C19" s="354">
        <f>Меню!D1420</f>
        <v>870</v>
      </c>
      <c r="D19" s="261"/>
    </row>
    <row r="20" spans="1:4" ht="19.5" customHeight="1">
      <c r="A20" s="260" t="s">
        <v>129</v>
      </c>
      <c r="B20" s="353">
        <f>Меню!D1501</f>
        <v>550</v>
      </c>
      <c r="C20" s="354">
        <f>Меню!D1533</f>
        <v>845</v>
      </c>
      <c r="D20" s="261"/>
    </row>
    <row r="21" spans="1:4" ht="19.5" customHeight="1" thickBot="1">
      <c r="A21" s="665" t="s">
        <v>130</v>
      </c>
      <c r="B21" s="666">
        <f>Меню!D1609</f>
        <v>620</v>
      </c>
      <c r="C21" s="667">
        <f>Меню!D1633</f>
        <v>855</v>
      </c>
      <c r="D21" s="261"/>
    </row>
  </sheetData>
  <sheetProtection/>
  <mergeCells count="2">
    <mergeCell ref="A1:C1"/>
    <mergeCell ref="A2:A3"/>
  </mergeCells>
  <conditionalFormatting sqref="B4:B21">
    <cfRule type="cellIs" priority="2" dxfId="10" operator="lessThan" stopIfTrue="1">
      <formula>550</formula>
    </cfRule>
    <cfRule type="cellIs" priority="4" dxfId="10" operator="lessThan" stopIfTrue="1">
      <formula>550</formula>
    </cfRule>
  </conditionalFormatting>
  <conditionalFormatting sqref="C4:C21">
    <cfRule type="cellIs" priority="3" dxfId="10" operator="lessThan" stopIfTrue="1">
      <formula>800</formula>
    </cfRule>
  </conditionalFormatting>
  <conditionalFormatting sqref="C3:C21">
    <cfRule type="cellIs" priority="1" dxfId="10" operator="lessThan" stopIfTrue="1">
      <formula>800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L15" sqref="L15"/>
    </sheetView>
  </sheetViews>
  <sheetFormatPr defaultColWidth="9.00390625" defaultRowHeight="12.75"/>
  <cols>
    <col min="4" max="4" width="16.00390625" style="0" customWidth="1"/>
    <col min="5" max="7" width="9.75390625" style="0" customWidth="1"/>
    <col min="8" max="8" width="10.75390625" style="0" customWidth="1"/>
    <col min="9" max="9" width="8.625" style="0" customWidth="1"/>
  </cols>
  <sheetData>
    <row r="1" spans="5:9" ht="15.75">
      <c r="E1" s="777" t="s">
        <v>445</v>
      </c>
      <c r="F1" s="777"/>
      <c r="G1" s="777"/>
      <c r="H1" s="777"/>
      <c r="I1" s="777"/>
    </row>
    <row r="2" spans="1:9" ht="34.5" customHeight="1">
      <c r="A2" s="694" t="s">
        <v>203</v>
      </c>
      <c r="B2" s="695"/>
      <c r="C2" s="695"/>
      <c r="D2" s="695"/>
      <c r="E2" s="235">
        <f>Меню!E553</f>
        <v>52.522962962962964</v>
      </c>
      <c r="F2" s="235">
        <f>Меню!F553</f>
        <v>52.23314814814815</v>
      </c>
      <c r="G2" s="235">
        <f>Меню!G553</f>
        <v>204.96703703703702</v>
      </c>
      <c r="H2" s="235">
        <f>Меню!H553</f>
        <v>1496.2683333333332</v>
      </c>
      <c r="I2" s="268"/>
    </row>
    <row r="3" spans="1:9" ht="34.5" customHeight="1">
      <c r="A3" s="694" t="s">
        <v>274</v>
      </c>
      <c r="B3" s="695"/>
      <c r="C3" s="695"/>
      <c r="D3" s="695"/>
      <c r="E3" s="235">
        <f>E5*50/100</f>
        <v>45</v>
      </c>
      <c r="F3" s="235">
        <f>F5*50/100</f>
        <v>46</v>
      </c>
      <c r="G3" s="235">
        <f>G5*50/100</f>
        <v>191.5</v>
      </c>
      <c r="H3" s="235">
        <f>H5*50/100</f>
        <v>1360</v>
      </c>
      <c r="I3" s="779" t="s">
        <v>276</v>
      </c>
    </row>
    <row r="4" spans="1:9" ht="34.5" customHeight="1">
      <c r="A4" s="694" t="s">
        <v>275</v>
      </c>
      <c r="B4" s="695"/>
      <c r="C4" s="695"/>
      <c r="D4" s="695"/>
      <c r="E4" s="235">
        <f>E5*60/100</f>
        <v>54</v>
      </c>
      <c r="F4" s="235">
        <f>F5*60/100</f>
        <v>55.2</v>
      </c>
      <c r="G4" s="235">
        <f>G5*60/100</f>
        <v>229.8</v>
      </c>
      <c r="H4" s="235">
        <f>H5*60/100</f>
        <v>1632</v>
      </c>
      <c r="I4" s="779"/>
    </row>
    <row r="5" spans="1:9" ht="34.5" customHeight="1">
      <c r="A5" s="694" t="s">
        <v>204</v>
      </c>
      <c r="B5" s="695"/>
      <c r="C5" s="695"/>
      <c r="D5" s="695"/>
      <c r="E5" s="235">
        <v>90</v>
      </c>
      <c r="F5" s="235">
        <v>92</v>
      </c>
      <c r="G5" s="235">
        <v>383</v>
      </c>
      <c r="H5" s="235">
        <v>2720</v>
      </c>
      <c r="I5" s="318"/>
    </row>
    <row r="6" spans="1:9" ht="21.75" customHeight="1">
      <c r="A6" s="80"/>
      <c r="B6" s="80"/>
      <c r="C6" s="80"/>
      <c r="D6" s="80"/>
      <c r="E6" s="778" t="s">
        <v>446</v>
      </c>
      <c r="F6" s="778"/>
      <c r="G6" s="778"/>
      <c r="H6" s="778"/>
      <c r="I6" s="778"/>
    </row>
    <row r="7" spans="1:9" ht="21.75" customHeight="1">
      <c r="A7" s="80"/>
      <c r="B7" s="80"/>
      <c r="C7" s="80"/>
      <c r="D7" s="80"/>
      <c r="E7" s="80"/>
      <c r="F7" s="80"/>
      <c r="G7" s="80"/>
      <c r="H7" s="80"/>
      <c r="I7" s="80"/>
    </row>
    <row r="8" spans="1:9" ht="34.5" customHeight="1">
      <c r="A8" s="694" t="s">
        <v>203</v>
      </c>
      <c r="B8" s="695"/>
      <c r="C8" s="695"/>
      <c r="D8" s="695"/>
      <c r="E8" s="235">
        <f>Меню!E1140</f>
        <v>52.09150997150997</v>
      </c>
      <c r="F8" s="235">
        <f>Меню!F1140</f>
        <v>48.624487179487176</v>
      </c>
      <c r="G8" s="235">
        <f>Меню!G1140</f>
        <v>211.33179487179487</v>
      </c>
      <c r="H8" s="235">
        <f>Меню!H1140</f>
        <v>1490.9902706552705</v>
      </c>
      <c r="I8" s="268"/>
    </row>
    <row r="9" spans="1:9" ht="34.5" customHeight="1">
      <c r="A9" s="694" t="s">
        <v>274</v>
      </c>
      <c r="B9" s="695"/>
      <c r="C9" s="695"/>
      <c r="D9" s="695"/>
      <c r="E9" s="235">
        <f>E11*50/100</f>
        <v>45</v>
      </c>
      <c r="F9" s="235">
        <f>F11*50/100</f>
        <v>46</v>
      </c>
      <c r="G9" s="235">
        <f>G11*50/100</f>
        <v>191.5</v>
      </c>
      <c r="H9" s="235">
        <f>H11*50/100</f>
        <v>1360</v>
      </c>
      <c r="I9" s="779" t="s">
        <v>276</v>
      </c>
    </row>
    <row r="10" spans="1:9" ht="34.5" customHeight="1">
      <c r="A10" s="694" t="s">
        <v>275</v>
      </c>
      <c r="B10" s="695"/>
      <c r="C10" s="695"/>
      <c r="D10" s="695"/>
      <c r="E10" s="235">
        <f>E11*60/100</f>
        <v>54</v>
      </c>
      <c r="F10" s="235">
        <f>F11*60/100</f>
        <v>55.2</v>
      </c>
      <c r="G10" s="235">
        <f>G11*60/100</f>
        <v>229.8</v>
      </c>
      <c r="H10" s="235">
        <f>H11*60/100</f>
        <v>1632</v>
      </c>
      <c r="I10" s="779"/>
    </row>
    <row r="11" spans="1:9" ht="34.5" customHeight="1">
      <c r="A11" s="694" t="s">
        <v>204</v>
      </c>
      <c r="B11" s="695"/>
      <c r="C11" s="695"/>
      <c r="D11" s="695"/>
      <c r="E11" s="235">
        <v>90</v>
      </c>
      <c r="F11" s="235">
        <v>92</v>
      </c>
      <c r="G11" s="235">
        <v>383</v>
      </c>
      <c r="H11" s="235">
        <v>2720</v>
      </c>
      <c r="I11" s="318"/>
    </row>
    <row r="12" spans="1:9" ht="21.75" customHeight="1">
      <c r="A12" s="80"/>
      <c r="B12" s="80"/>
      <c r="C12" s="80"/>
      <c r="D12" s="80"/>
      <c r="E12" s="80"/>
      <c r="F12" s="80"/>
      <c r="G12" s="80"/>
      <c r="H12" s="80"/>
      <c r="I12" s="80"/>
    </row>
    <row r="13" spans="1:9" ht="21.75" customHeight="1">
      <c r="A13" s="80"/>
      <c r="B13" s="80"/>
      <c r="C13" s="80"/>
      <c r="D13" s="80"/>
      <c r="E13" s="777" t="s">
        <v>447</v>
      </c>
      <c r="F13" s="777"/>
      <c r="G13" s="777"/>
      <c r="H13" s="777"/>
      <c r="I13" s="777"/>
    </row>
    <row r="14" spans="1:9" ht="34.5" customHeight="1">
      <c r="A14" s="694" t="s">
        <v>203</v>
      </c>
      <c r="B14" s="695"/>
      <c r="C14" s="695"/>
      <c r="D14" s="695"/>
      <c r="E14" s="235">
        <f>Меню!E1683</f>
        <v>53.85317663817663</v>
      </c>
      <c r="F14" s="235">
        <f>Меню!F1683</f>
        <v>51.63073056573055</v>
      </c>
      <c r="G14" s="235">
        <f>Меню!G1683</f>
        <v>209.9741493691494</v>
      </c>
      <c r="H14" s="235">
        <f>Меню!H1683</f>
        <v>1519.5958791208793</v>
      </c>
      <c r="I14" s="268"/>
    </row>
    <row r="15" spans="1:9" ht="34.5" customHeight="1">
      <c r="A15" s="694" t="s">
        <v>274</v>
      </c>
      <c r="B15" s="695"/>
      <c r="C15" s="695"/>
      <c r="D15" s="695"/>
      <c r="E15" s="235">
        <f>E17*50/100</f>
        <v>45</v>
      </c>
      <c r="F15" s="235">
        <f>F17*50/100</f>
        <v>46</v>
      </c>
      <c r="G15" s="235">
        <f>G17*50/100</f>
        <v>191.5</v>
      </c>
      <c r="H15" s="235">
        <f>H17*50/100</f>
        <v>1360</v>
      </c>
      <c r="I15" s="779" t="s">
        <v>276</v>
      </c>
    </row>
    <row r="16" spans="1:9" ht="34.5" customHeight="1">
      <c r="A16" s="694" t="s">
        <v>275</v>
      </c>
      <c r="B16" s="695"/>
      <c r="C16" s="695"/>
      <c r="D16" s="695"/>
      <c r="E16" s="235">
        <f>E17*60/100</f>
        <v>54</v>
      </c>
      <c r="F16" s="235">
        <f>F17*60/100</f>
        <v>55.2</v>
      </c>
      <c r="G16" s="235">
        <f>G17*60/100</f>
        <v>229.8</v>
      </c>
      <c r="H16" s="235">
        <f>H17*60/100</f>
        <v>1632</v>
      </c>
      <c r="I16" s="779"/>
    </row>
    <row r="17" spans="1:9" ht="34.5" customHeight="1">
      <c r="A17" s="694" t="s">
        <v>204</v>
      </c>
      <c r="B17" s="695"/>
      <c r="C17" s="695"/>
      <c r="D17" s="695"/>
      <c r="E17" s="235">
        <v>90</v>
      </c>
      <c r="F17" s="235">
        <v>92</v>
      </c>
      <c r="G17" s="235">
        <v>383</v>
      </c>
      <c r="H17" s="235">
        <v>2720</v>
      </c>
      <c r="I17" s="318"/>
    </row>
  </sheetData>
  <sheetProtection password="CF52" sheet="1"/>
  <mergeCells count="18">
    <mergeCell ref="A15:D15"/>
    <mergeCell ref="I15:I16"/>
    <mergeCell ref="A16:D16"/>
    <mergeCell ref="A17:D17"/>
    <mergeCell ref="E13:I13"/>
    <mergeCell ref="A8:D8"/>
    <mergeCell ref="A9:D9"/>
    <mergeCell ref="I9:I10"/>
    <mergeCell ref="A10:D10"/>
    <mergeCell ref="A11:D11"/>
    <mergeCell ref="A14:D14"/>
    <mergeCell ref="A2:D2"/>
    <mergeCell ref="E1:I1"/>
    <mergeCell ref="E6:I6"/>
    <mergeCell ref="A3:D3"/>
    <mergeCell ref="I3:I4"/>
    <mergeCell ref="A4:D4"/>
    <mergeCell ref="A5:D5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2023-03-13T06:38:20Z</cp:lastPrinted>
  <dcterms:created xsi:type="dcterms:W3CDTF">2009-10-19T06:28:23Z</dcterms:created>
  <dcterms:modified xsi:type="dcterms:W3CDTF">2023-03-14T05:22:09Z</dcterms:modified>
  <cp:category/>
  <cp:version/>
  <cp:contentType/>
  <cp:contentStatus/>
</cp:coreProperties>
</file>